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740" windowHeight="9735" activeTab="0"/>
  </bookViews>
  <sheets>
    <sheet name="EauDeMerSansSel" sheetId="1" r:id="rId1"/>
  </sheets>
  <definedNames/>
  <calcPr fullCalcOnLoad="1"/>
</workbook>
</file>

<file path=xl/sharedStrings.xml><?xml version="1.0" encoding="utf-8"?>
<sst xmlns="http://schemas.openxmlformats.org/spreadsheetml/2006/main" count="175" uniqueCount="132">
  <si>
    <t>mg/l</t>
  </si>
  <si>
    <t>mmol/l</t>
  </si>
  <si>
    <t>bore</t>
  </si>
  <si>
    <t>strontium</t>
  </si>
  <si>
    <t>H3BO3</t>
  </si>
  <si>
    <t>KBr</t>
  </si>
  <si>
    <t>MgCl2</t>
  </si>
  <si>
    <t>Masse molaire</t>
  </si>
  <si>
    <t>NaHCO3</t>
  </si>
  <si>
    <t>Na2CO3</t>
  </si>
  <si>
    <t>Na</t>
  </si>
  <si>
    <t>Cl</t>
  </si>
  <si>
    <t>KCl</t>
  </si>
  <si>
    <t>K</t>
  </si>
  <si>
    <t>B</t>
  </si>
  <si>
    <t>Br</t>
  </si>
  <si>
    <t>F</t>
  </si>
  <si>
    <t>NaF</t>
  </si>
  <si>
    <t>Mg</t>
  </si>
  <si>
    <t>Ca</t>
  </si>
  <si>
    <t>Sr</t>
  </si>
  <si>
    <t>HCO3</t>
  </si>
  <si>
    <t>SO4</t>
  </si>
  <si>
    <t>HCO3/CO3</t>
  </si>
  <si>
    <t>litres</t>
  </si>
  <si>
    <t>Na2SO4</t>
  </si>
  <si>
    <t>Eléments</t>
  </si>
  <si>
    <t>CO3</t>
  </si>
  <si>
    <t>Composition de l'eau de mer naturelle ; éléments majeurs</t>
  </si>
  <si>
    <t>KH</t>
  </si>
  <si>
    <t>litre</t>
  </si>
  <si>
    <t>*</t>
  </si>
  <si>
    <t>MgSO4</t>
  </si>
  <si>
    <t>rapport molaire</t>
  </si>
  <si>
    <t>Liste des produits nécessaires</t>
  </si>
  <si>
    <t>fluorure de sodium NaF</t>
  </si>
  <si>
    <t>bromure de potassium KBr</t>
  </si>
  <si>
    <t>acide borique H3BO3</t>
  </si>
  <si>
    <t>hydrogénocarbonate de sodium NaHCO3</t>
  </si>
  <si>
    <t>carbonate de sodium Na2CO3</t>
  </si>
  <si>
    <t>chlorure de potassium KCl</t>
  </si>
  <si>
    <t>hydrogénocarbonate de potassium KHCO3</t>
  </si>
  <si>
    <t>chlorure de strontium hexahydraté SrCl2</t>
  </si>
  <si>
    <t>sulfate de magnésium heptahydraté MgSO4,7H2O</t>
  </si>
  <si>
    <t>sulfate de magnésium anhydre MgSO4</t>
  </si>
  <si>
    <t>chlorure de calcium anhydre CaCl2</t>
  </si>
  <si>
    <t>chlorure de calcium dihydraté CaCl2,2H2O</t>
  </si>
  <si>
    <t>chlorure de magnésium hexahydraté MgCl2,6H2O</t>
  </si>
  <si>
    <t>Utilisation</t>
  </si>
  <si>
    <t>Tapez 1 dans une seule des deux cases vertes si vous comptez utiliser du sulfate de magnésium</t>
  </si>
  <si>
    <t>Tapez 1 dans une seule des deux cases vertes selon le chlorure de calcium dont vous disposez</t>
  </si>
  <si>
    <t>Il est obligatoire de choisir l'un de ces deux produits, et un seul des deux !</t>
  </si>
  <si>
    <t>Le chiffre 1 indique que le produit est utilisé</t>
  </si>
  <si>
    <t>Pour savoir ce que cela implique, lisez l'article.</t>
  </si>
  <si>
    <t>Indiquez le volume V (en litres) de votre aquarium dans la case rouge :</t>
  </si>
  <si>
    <t>Vous désirez augmenter la teneur en magnésium dans votre aquarium de X mg/l à chaque fois que vous changez un litre d'eau : tapez la valeur de X dans la case bleue</t>
  </si>
  <si>
    <t>Les calculs qui suivent supposent que vous changez UN litre d'eau.</t>
  </si>
  <si>
    <t>SrCl2</t>
  </si>
  <si>
    <t>KHCO3</t>
  </si>
  <si>
    <t>Tapez 1 dans une seule des deux cases jaune pale selon le produit que vous comptez utiliser</t>
  </si>
  <si>
    <t>Tapez obligatoirement un 1 dans une seule de ces deux cases jaune pale</t>
  </si>
  <si>
    <t>Des valeurs 1 ont été tapées par défaut à titre d'exemple.</t>
  </si>
  <si>
    <t>reste Na</t>
  </si>
  <si>
    <t>reste Cl</t>
  </si>
  <si>
    <t>p</t>
  </si>
  <si>
    <t>CaCl2</t>
  </si>
  <si>
    <t>y</t>
  </si>
  <si>
    <t>Le tableau ci dessous vous indique les masses des différents composés que vous devez dissoudre dans le volume qui est indiqué pour chacune des solutions A, B et C.</t>
  </si>
  <si>
    <t xml:space="preserve">Parfois la masse à peser est faible, dans ce cas un volume v est aussi indiqué dans la colonne de droite. </t>
  </si>
  <si>
    <t>Solution A : c'est la solution KH</t>
  </si>
  <si>
    <t>Produits nécessaires</t>
  </si>
  <si>
    <t>masse à utiliser (en grammes)</t>
  </si>
  <si>
    <t>volume v (en millilitres)</t>
  </si>
  <si>
    <t>Vous allez pouvoir préparer de quoi changer dix litres d'eau de votre aquarium (évidemment pas en une seule fois !).</t>
  </si>
  <si>
    <t>sulfate de sodium Na2SO4</t>
  </si>
  <si>
    <t>Tapez 1 dans la case rose uniquement si vous n'utilisez pas de sulfate de magnésium</t>
  </si>
  <si>
    <t>Calculs de valeurs intermédiaires dans ce tableau que vous devez ignorer (ne rien y modifier) !</t>
  </si>
  <si>
    <t>tableau de vérifications que vous devez ignorer (ne rien y modifier !)</t>
  </si>
  <si>
    <t>en</t>
  </si>
  <si>
    <t>Solution B : c'est la solution calcium-magnésium</t>
  </si>
  <si>
    <t>Ne tapez rien dans ces cases si vous utilisez du sulfate de sodium (vous avez tapé 1 dans la case rose)</t>
  </si>
  <si>
    <t>Dissoudre les produits précédents dans le volume (en litre) indiqué en rouge dans la case ci dessous.</t>
  </si>
  <si>
    <t>Pour changer un litre d'eau de votre aquarium, il faudra utiliser le volume (en litre) de la solution A indiqué en bleu dans la case ci dessous.</t>
  </si>
  <si>
    <t>Pour changer un litre d'eau de votre aquarium, il faudra utiliser le volume (en litre) de la solution C indiqué en bleu dans la case ci dessous.</t>
  </si>
  <si>
    <t>Pour changer un litre d'eau de votre aquarium, il faudra utiliser le volume (en litre) de la solution B indiqué en bleu dans la case ci dessous.</t>
  </si>
  <si>
    <t>Solution C : c'est la solution magnésium uniquement si vous avez choisi d'utiliser du sulfate de magnésium</t>
  </si>
  <si>
    <t>Tapez les valeurs de X dans les cases violettes.</t>
  </si>
  <si>
    <t xml:space="preserve"> litres</t>
  </si>
  <si>
    <t xml:space="preserve"> litre</t>
  </si>
  <si>
    <t>Solutions utiles lorsque les masses données ci dessus ne sont pas faciles à peser avec une balance ordinaire</t>
  </si>
  <si>
    <t xml:space="preserve">solution de  </t>
  </si>
  <si>
    <t>produit</t>
  </si>
  <si>
    <t>masse du produit (grammes)</t>
  </si>
  <si>
    <t>volume de la solution à préparer (litre)</t>
  </si>
  <si>
    <t>Cela vous permet d'ajuster au mieux les masses à peser et les volumes v que vous aurez à utiliser selon vos moyens de pesée et de mesure des volumes.</t>
  </si>
  <si>
    <t>volume v à utiliser (millilitres)</t>
  </si>
  <si>
    <t>Si les volumes de solution à préparer (cases couleur prune) ne vous conviennent pas, vous pouvez les changer</t>
  </si>
  <si>
    <t>Les valeurs choisies par défaut permettent de ne pas avoir à peser des masses inférieures à 10 grammes.</t>
  </si>
  <si>
    <t>Attention à l'acide borique qui ne se dissout pas très bien : ne dépassez pas 20 grammes par litre</t>
  </si>
  <si>
    <t>Reportez vous à l'article pour avoir plus d'explications.</t>
  </si>
  <si>
    <t>vous augmentez dans votre aquarium la concentration de magnésium de la valeur indiquée ci après en rouge :</t>
  </si>
  <si>
    <t>vous augmentez dans votre aquarium  la concentration de calcium de la valeur indiquée ci après en rose :</t>
  </si>
  <si>
    <t xml:space="preserve">vous augmentez le KH dans votre aquarium de la valeur indiquée ci après en vert : </t>
  </si>
  <si>
    <t>Si vous étalez régulièrement ce changement de un litre sur les 7 jours de la semaine, alors chaque jour :</t>
  </si>
  <si>
    <t>Lorsque vous changez un litre d'eau de votre aquarium et le remplacer par les solutions A,B (et C éventuellement) comme indiqué ci dessus, alors :</t>
  </si>
  <si>
    <t>Vous ne devez pas modifier quoi que ce soit en dehors des valeurs situées dans des cases de couleur.</t>
  </si>
  <si>
    <t>Avertissement : pour bien utiliser ce qui suit, il est conseillé d'avoir lu l'article suivant</t>
  </si>
  <si>
    <t>"Fabriquer de l'eau de mer sans sel (de cuisine !)"</t>
  </si>
  <si>
    <t>Tapez 1 si vous voulez ajouter du fluor</t>
  </si>
  <si>
    <t>Tapez 1 si vous voulez ajouter du brome</t>
  </si>
  <si>
    <t>Tapez 1 si vous voulez ajouter du bore</t>
  </si>
  <si>
    <t>Tapez 1 si vous voulez ajouter du strontium</t>
  </si>
  <si>
    <t xml:space="preserve">Tapez 1 dans la case bleue si vous comptez utiliser ce produit </t>
  </si>
  <si>
    <t>Vous désirez peut être aussi augmenter la teneur en strontium et bore dans votre aquarium de X mg/l à chaque fois que vous changez un litre d'eau.</t>
  </si>
  <si>
    <t>Des explications concernant ces valeurs de X à choisir se trouvent dans l'article.</t>
  </si>
  <si>
    <t>Si les masses à utiliser (cases couleur lilas) ne vous conviennent pas, vous pouvez les changer</t>
  </si>
  <si>
    <t>et bien sûr vous augmentez les concentrations en bore et strontium comme vous l'avez choisi dans les cases violettes plus haut.</t>
  </si>
  <si>
    <t>Respectez les règles élémentaires de sécurité lorsque vous manipulez les divers produits (demandez à votre fournisseur)</t>
  </si>
  <si>
    <t>Ce volume correspond à celui d'une solution que vous réalisez en suivant les indications du tableau colorié en gris et qui se trouve plus bas.</t>
  </si>
  <si>
    <t>La valeur choisie pour le strontium vous permet d'utiliser votre solution habituelle à 10%</t>
  </si>
  <si>
    <t>Des explications concernant la valeur de X à choisir se trouvent dans l'article (valeur 8mg/l par défaut).</t>
  </si>
  <si>
    <t>Produit nécessaire</t>
  </si>
  <si>
    <t>Dissoudre le produit précédent dans le volume (en litre) indiqué en rouge dans la case ci dessous.</t>
  </si>
  <si>
    <t>Voici de quoi calculer le prix de revient de un litre de solution</t>
  </si>
  <si>
    <t>Produit utilisé</t>
  </si>
  <si>
    <t>Prix d'achat au kilo</t>
  </si>
  <si>
    <t>Prix payé</t>
  </si>
  <si>
    <t>Coût du litre d'eau enrichie fabriqué</t>
  </si>
  <si>
    <t>tapez dans les cases bleues le prix que vous avez payé</t>
  </si>
  <si>
    <t xml:space="preserve">tapez dans les cases vertes la quantité (en kilogrammes) de produit que vous avez acheté </t>
  </si>
  <si>
    <t>Quantité de produit acheté (en kg)</t>
  </si>
  <si>
    <t>Vous devez compléter les cases de couleur ci dessous en y tapant le chiffre 1 éventuellement.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</si>
</sst>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0.000E+00"/>
    <numFmt numFmtId="179" formatCode="0.0000000000"/>
    <numFmt numFmtId="180" formatCode="0.000000000"/>
    <numFmt numFmtId="181" formatCode="0.0000000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0000000000"/>
    <numFmt numFmtId="188" formatCode="0.0E+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color indexed="48"/>
      <name val="Arial"/>
      <family val="2"/>
    </font>
    <font>
      <b/>
      <sz val="16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73" fontId="0" fillId="0" borderId="16" xfId="0" applyNumberFormat="1" applyFont="1" applyBorder="1" applyAlignment="1">
      <alignment horizontal="center"/>
    </xf>
    <xf numFmtId="173" fontId="0" fillId="0" borderId="14" xfId="0" applyNumberFormat="1" applyFont="1" applyBorder="1" applyAlignment="1">
      <alignment horizontal="center"/>
    </xf>
    <xf numFmtId="173" fontId="0" fillId="0" borderId="14" xfId="0" applyNumberFormat="1" applyFont="1" applyFill="1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17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4" borderId="8" xfId="0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left"/>
    </xf>
    <xf numFmtId="0" fontId="0" fillId="5" borderId="0" xfId="0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73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6" borderId="0" xfId="0" applyFont="1" applyFill="1" applyBorder="1" applyAlignment="1" applyProtection="1">
      <alignment horizontal="center"/>
      <protection locked="0"/>
    </xf>
    <xf numFmtId="0" fontId="0" fillId="6" borderId="9" xfId="0" applyFont="1" applyFill="1" applyBorder="1" applyAlignment="1" applyProtection="1">
      <alignment horizontal="center"/>
      <protection locked="0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0" fontId="0" fillId="7" borderId="20" xfId="0" applyFill="1" applyBorder="1" applyAlignment="1">
      <alignment horizontal="right"/>
    </xf>
    <xf numFmtId="0" fontId="0" fillId="7" borderId="27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22" xfId="0" applyFill="1" applyBorder="1" applyAlignment="1">
      <alignment horizontal="right"/>
    </xf>
    <xf numFmtId="0" fontId="0" fillId="7" borderId="23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4" xfId="0" applyFill="1" applyBorder="1" applyAlignment="1">
      <alignment horizontal="right"/>
    </xf>
    <xf numFmtId="0" fontId="0" fillId="7" borderId="26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5" xfId="0" applyFill="1" applyBorder="1" applyAlignment="1">
      <alignment horizontal="center"/>
    </xf>
    <xf numFmtId="0" fontId="0" fillId="7" borderId="11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12" xfId="0" applyFill="1" applyBorder="1" applyAlignment="1">
      <alignment/>
    </xf>
    <xf numFmtId="2" fontId="0" fillId="7" borderId="28" xfId="0" applyNumberFormat="1" applyFill="1" applyBorder="1" applyAlignment="1">
      <alignment/>
    </xf>
    <xf numFmtId="2" fontId="0" fillId="7" borderId="23" xfId="0" applyNumberFormat="1" applyFill="1" applyBorder="1" applyAlignment="1">
      <alignment/>
    </xf>
    <xf numFmtId="2" fontId="0" fillId="7" borderId="26" xfId="0" applyNumberFormat="1" applyFill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8" borderId="17" xfId="0" applyFont="1" applyFill="1" applyBorder="1" applyAlignment="1" applyProtection="1">
      <alignment horizontal="center"/>
      <protection locked="0"/>
    </xf>
    <xf numFmtId="172" fontId="11" fillId="9" borderId="30" xfId="0" applyNumberFormat="1" applyFont="1" applyFill="1" applyBorder="1" applyAlignment="1" applyProtection="1">
      <alignment horizontal="center"/>
      <protection locked="0"/>
    </xf>
    <xf numFmtId="172" fontId="11" fillId="9" borderId="19" xfId="0" applyNumberFormat="1" applyFont="1" applyFill="1" applyBorder="1" applyAlignment="1" applyProtection="1">
      <alignment horizontal="center"/>
      <protection locked="0"/>
    </xf>
    <xf numFmtId="172" fontId="11" fillId="9" borderId="25" xfId="0" applyNumberFormat="1" applyFont="1" applyFill="1" applyBorder="1" applyAlignment="1" applyProtection="1">
      <alignment horizontal="center"/>
      <protection locked="0"/>
    </xf>
    <xf numFmtId="0" fontId="0" fillId="10" borderId="13" xfId="0" applyFill="1" applyBorder="1" applyAlignment="1" applyProtection="1">
      <alignment horizontal="center"/>
      <protection locked="0"/>
    </xf>
    <xf numFmtId="0" fontId="0" fillId="10" borderId="14" xfId="0" applyFill="1" applyBorder="1" applyAlignment="1" applyProtection="1">
      <alignment horizontal="center"/>
      <protection locked="0"/>
    </xf>
    <xf numFmtId="0" fontId="0" fillId="10" borderId="31" xfId="0" applyFill="1" applyBorder="1" applyAlignment="1" applyProtection="1">
      <alignment horizontal="center"/>
      <protection locked="0"/>
    </xf>
    <xf numFmtId="0" fontId="0" fillId="0" borderId="3" xfId="0" applyFill="1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11" borderId="17" xfId="0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/>
    </xf>
    <xf numFmtId="0" fontId="1" fillId="0" borderId="9" xfId="0" applyFont="1" applyBorder="1" applyAlignment="1">
      <alignment/>
    </xf>
    <xf numFmtId="173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72" fontId="0" fillId="12" borderId="29" xfId="0" applyNumberFormat="1" applyFill="1" applyBorder="1" applyAlignment="1" applyProtection="1">
      <alignment horizontal="center"/>
      <protection locked="0"/>
    </xf>
    <xf numFmtId="172" fontId="0" fillId="12" borderId="22" xfId="0" applyNumberFormat="1" applyFill="1" applyBorder="1" applyAlignment="1" applyProtection="1">
      <alignment horizontal="center"/>
      <protection locked="0"/>
    </xf>
    <xf numFmtId="172" fontId="0" fillId="7" borderId="22" xfId="0" applyNumberFormat="1" applyFill="1" applyBorder="1" applyAlignment="1" applyProtection="1">
      <alignment horizontal="center"/>
      <protection/>
    </xf>
    <xf numFmtId="172" fontId="0" fillId="12" borderId="24" xfId="0" applyNumberFormat="1" applyFill="1" applyBorder="1" applyAlignment="1" applyProtection="1">
      <alignment horizontal="center"/>
      <protection locked="0"/>
    </xf>
    <xf numFmtId="172" fontId="0" fillId="7" borderId="24" xfId="0" applyNumberFormat="1" applyFill="1" applyBorder="1" applyAlignment="1" applyProtection="1">
      <alignment horizontal="center"/>
      <protection/>
    </xf>
    <xf numFmtId="172" fontId="0" fillId="7" borderId="29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2" fontId="0" fillId="0" borderId="34" xfId="0" applyNumberFormat="1" applyFill="1" applyBorder="1" applyAlignment="1" applyProtection="1">
      <alignment horizontal="center"/>
      <protection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6" xfId="0" applyNumberFormat="1" applyFill="1" applyBorder="1" applyAlignment="1" applyProtection="1">
      <alignment horizontal="center"/>
      <protection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5" xfId="0" applyNumberFormat="1" applyFill="1" applyBorder="1" applyAlignment="1" applyProtection="1">
      <alignment horizontal="center"/>
      <protection locked="0"/>
    </xf>
    <xf numFmtId="0" fontId="0" fillId="11" borderId="37" xfId="0" applyFill="1" applyBorder="1" applyAlignment="1" applyProtection="1">
      <alignment horizontal="center"/>
      <protection locked="0"/>
    </xf>
    <xf numFmtId="0" fontId="0" fillId="11" borderId="35" xfId="0" applyFill="1" applyBorder="1" applyAlignment="1" applyProtection="1">
      <alignment horizontal="center"/>
      <protection locked="0"/>
    </xf>
    <xf numFmtId="0" fontId="0" fillId="11" borderId="36" xfId="0" applyFill="1" applyBorder="1" applyAlignment="1" applyProtection="1">
      <alignment horizontal="center"/>
      <protection locked="0"/>
    </xf>
    <xf numFmtId="2" fontId="12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59"/>
  <sheetViews>
    <sheetView tabSelected="1" workbookViewId="0" topLeftCell="A1">
      <selection activeCell="G48" sqref="G48"/>
    </sheetView>
  </sheetViews>
  <sheetFormatPr defaultColWidth="11.421875" defaultRowHeight="12.75"/>
  <cols>
    <col min="1" max="1" width="1.57421875" style="0" customWidth="1"/>
    <col min="2" max="2" width="19.7109375" style="0" customWidth="1"/>
    <col min="3" max="3" width="14.00390625" style="0" customWidth="1"/>
    <col min="4" max="4" width="17.421875" style="0" customWidth="1"/>
    <col min="5" max="5" width="17.28125" style="0" customWidth="1"/>
    <col min="6" max="6" width="16.28125" style="0" customWidth="1"/>
    <col min="7" max="8" width="10.7109375" style="0" customWidth="1"/>
    <col min="9" max="9" width="14.00390625" style="0" customWidth="1"/>
    <col min="10" max="10" width="10.00390625" style="0" customWidth="1"/>
    <col min="11" max="11" width="21.00390625" style="0" customWidth="1"/>
    <col min="12" max="12" width="17.00390625" style="0" customWidth="1"/>
    <col min="13" max="13" width="10.8515625" style="0" customWidth="1"/>
    <col min="14" max="14" width="8.8515625" style="0" customWidth="1"/>
    <col min="15" max="17" width="50.7109375" style="0" customWidth="1"/>
    <col min="19" max="19" width="12.57421875" style="0" bestFit="1" customWidth="1"/>
    <col min="22" max="22" width="23.28125" style="0" customWidth="1"/>
    <col min="24" max="24" width="16.57421875" style="0" customWidth="1"/>
  </cols>
  <sheetData>
    <row r="2" ht="20.25">
      <c r="B2" s="68" t="s">
        <v>106</v>
      </c>
    </row>
    <row r="3" spans="2:3" ht="20.25">
      <c r="B3" s="68"/>
      <c r="C3" s="68" t="s">
        <v>107</v>
      </c>
    </row>
    <row r="4" ht="20.25">
      <c r="B4" s="68" t="s">
        <v>105</v>
      </c>
    </row>
    <row r="5" ht="20.25">
      <c r="B5" s="68" t="s">
        <v>117</v>
      </c>
    </row>
    <row r="6" ht="13.5" thickBot="1"/>
    <row r="7" spans="2:7" ht="13.5" thickBot="1">
      <c r="B7" s="148" t="s">
        <v>28</v>
      </c>
      <c r="C7" s="149"/>
      <c r="D7" s="149"/>
      <c r="E7" s="150"/>
      <c r="F7" s="2"/>
      <c r="G7" s="2"/>
    </row>
    <row r="8" ht="6.75" customHeight="1" thickBot="1"/>
    <row r="9" spans="2:5" ht="13.5" thickBot="1">
      <c r="B9" s="27" t="s">
        <v>26</v>
      </c>
      <c r="C9" s="27" t="s">
        <v>7</v>
      </c>
      <c r="D9" s="27" t="s">
        <v>0</v>
      </c>
      <c r="E9" s="27" t="s">
        <v>1</v>
      </c>
    </row>
    <row r="10" spans="2:5" ht="12.75">
      <c r="B10" s="29" t="s">
        <v>11</v>
      </c>
      <c r="C10" s="29">
        <v>35.5</v>
      </c>
      <c r="D10" s="26">
        <v>19367.08623635249</v>
      </c>
      <c r="E10" s="32">
        <f aca="true" t="shared" si="0" ref="E10:E21">D10/C10</f>
        <v>545.5517249676758</v>
      </c>
    </row>
    <row r="11" spans="2:5" ht="12.75">
      <c r="B11" s="23" t="s">
        <v>10</v>
      </c>
      <c r="C11" s="23">
        <v>23</v>
      </c>
      <c r="D11" s="22">
        <v>10783.949064031463</v>
      </c>
      <c r="E11" s="33">
        <f t="shared" si="0"/>
        <v>468.8673506100636</v>
      </c>
    </row>
    <row r="12" spans="2:5" ht="12.75">
      <c r="B12" s="23" t="s">
        <v>18</v>
      </c>
      <c r="C12" s="23">
        <v>24.3</v>
      </c>
      <c r="D12" s="22">
        <v>1283.269155206287</v>
      </c>
      <c r="E12" s="33">
        <f t="shared" si="0"/>
        <v>52.80943025540275</v>
      </c>
    </row>
    <row r="13" spans="2:5" ht="12.75">
      <c r="B13" s="23" t="s">
        <v>22</v>
      </c>
      <c r="C13" s="23">
        <v>96.1</v>
      </c>
      <c r="D13" s="22">
        <v>2712.5763546798025</v>
      </c>
      <c r="E13" s="33">
        <f t="shared" si="0"/>
        <v>28.226600985221673</v>
      </c>
    </row>
    <row r="14" spans="2:5" ht="12.75">
      <c r="B14" s="23" t="s">
        <v>19</v>
      </c>
      <c r="C14" s="23">
        <v>40.1</v>
      </c>
      <c r="D14" s="22">
        <v>411.0863358259688</v>
      </c>
      <c r="E14" s="33">
        <f t="shared" si="0"/>
        <v>10.251529571719919</v>
      </c>
    </row>
    <row r="15" spans="2:5" ht="12.75">
      <c r="B15" s="23" t="s">
        <v>13</v>
      </c>
      <c r="C15" s="23">
        <v>39.1</v>
      </c>
      <c r="D15" s="22">
        <v>394.2962849482957</v>
      </c>
      <c r="E15" s="33">
        <f t="shared" si="0"/>
        <v>10.084303962872012</v>
      </c>
    </row>
    <row r="16" spans="2:5" ht="12.75">
      <c r="B16" s="23" t="s">
        <v>21</v>
      </c>
      <c r="C16" s="23">
        <v>61</v>
      </c>
      <c r="D16" s="22">
        <v>107.47619047619048</v>
      </c>
      <c r="E16" s="33">
        <f t="shared" si="0"/>
        <v>1.761904761904762</v>
      </c>
    </row>
    <row r="17" spans="2:5" ht="12.75">
      <c r="B17" s="23" t="s">
        <v>15</v>
      </c>
      <c r="C17" s="23">
        <v>79.9</v>
      </c>
      <c r="D17" s="22">
        <v>67.14285714285715</v>
      </c>
      <c r="E17" s="33">
        <f t="shared" si="0"/>
        <v>0.8403361344537815</v>
      </c>
    </row>
    <row r="18" spans="2:5" ht="12.75">
      <c r="B18" s="23" t="s">
        <v>14</v>
      </c>
      <c r="C18" s="23">
        <v>10.8</v>
      </c>
      <c r="D18" s="22">
        <v>4.368932038834951</v>
      </c>
      <c r="E18" s="33">
        <f t="shared" si="0"/>
        <v>0.40453074433656955</v>
      </c>
    </row>
    <row r="19" spans="2:5" ht="12.75">
      <c r="B19" s="30" t="s">
        <v>27</v>
      </c>
      <c r="C19" s="30">
        <v>60</v>
      </c>
      <c r="D19" s="24">
        <v>17.547169811320757</v>
      </c>
      <c r="E19" s="34">
        <f t="shared" si="0"/>
        <v>0.2924528301886793</v>
      </c>
    </row>
    <row r="20" spans="2:5" ht="12.75">
      <c r="B20" s="23" t="s">
        <v>20</v>
      </c>
      <c r="C20" s="23">
        <v>87.6</v>
      </c>
      <c r="D20" s="22">
        <v>8.214553638409603</v>
      </c>
      <c r="E20" s="33">
        <f t="shared" si="0"/>
        <v>0.09377344336084022</v>
      </c>
    </row>
    <row r="21" spans="2:5" ht="13.5" thickBot="1">
      <c r="B21" s="28" t="s">
        <v>16</v>
      </c>
      <c r="C21" s="28">
        <v>19</v>
      </c>
      <c r="D21" s="25">
        <v>1.3119047619047617</v>
      </c>
      <c r="E21" s="35">
        <f t="shared" si="0"/>
        <v>0.06904761904761904</v>
      </c>
    </row>
    <row r="22" ht="6" customHeight="1" thickBot="1"/>
    <row r="23" spans="2:4" ht="13.5" thickBot="1">
      <c r="B23" s="14" t="s">
        <v>33</v>
      </c>
      <c r="C23" s="37" t="s">
        <v>23</v>
      </c>
      <c r="D23" s="38">
        <f>E16/E19</f>
        <v>6.024577572964669</v>
      </c>
    </row>
    <row r="24" spans="2:3" ht="13.5" thickBot="1">
      <c r="B24" s="14" t="s">
        <v>29</v>
      </c>
      <c r="C24" s="36">
        <f>2.8*(2*E19+E16)</f>
        <v>6.571069182389938</v>
      </c>
    </row>
    <row r="25" spans="2:3" ht="12.75">
      <c r="B25" s="1"/>
      <c r="C25" s="18"/>
    </row>
    <row r="26" ht="13.5" thickBot="1"/>
    <row r="27" spans="2:14" ht="12.75">
      <c r="B27" s="48" t="s">
        <v>131</v>
      </c>
      <c r="C27" s="49"/>
      <c r="D27" s="49"/>
      <c r="E27" s="10"/>
      <c r="F27" s="10"/>
      <c r="G27" s="10"/>
      <c r="H27" s="10"/>
      <c r="I27" s="10"/>
      <c r="J27" s="10"/>
      <c r="K27" s="10"/>
      <c r="L27" s="10"/>
      <c r="M27" s="10"/>
      <c r="N27" s="8"/>
    </row>
    <row r="28" spans="2:14" ht="12.75">
      <c r="B28" s="51" t="s">
        <v>53</v>
      </c>
      <c r="C28" s="50"/>
      <c r="D28" s="50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2:14" ht="12.75">
      <c r="B29" s="51" t="s">
        <v>61</v>
      </c>
      <c r="C29" s="50"/>
      <c r="D29" s="50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2:14" ht="13.5" thickBot="1">
      <c r="B30" s="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2:14" ht="13.5" thickBot="1">
      <c r="B31" s="107" t="s">
        <v>34</v>
      </c>
      <c r="C31" s="15"/>
      <c r="D31" s="9"/>
      <c r="E31" s="108" t="s">
        <v>7</v>
      </c>
      <c r="F31" s="109" t="s">
        <v>48</v>
      </c>
      <c r="G31" s="15" t="s">
        <v>52</v>
      </c>
      <c r="H31" s="15"/>
      <c r="I31" s="15"/>
      <c r="J31" s="9"/>
      <c r="K31" s="12"/>
      <c r="L31" s="12"/>
      <c r="M31" s="12"/>
      <c r="N31" s="13"/>
    </row>
    <row r="32" spans="2:14" ht="12.75">
      <c r="B32" s="7" t="s">
        <v>35</v>
      </c>
      <c r="C32" s="10"/>
      <c r="D32" s="8"/>
      <c r="E32" s="19">
        <v>42</v>
      </c>
      <c r="F32" s="103">
        <v>1</v>
      </c>
      <c r="G32" s="7" t="s">
        <v>108</v>
      </c>
      <c r="H32" s="10"/>
      <c r="I32" s="10"/>
      <c r="J32" s="8"/>
      <c r="K32" s="12"/>
      <c r="L32" s="12"/>
      <c r="M32" s="12"/>
      <c r="N32" s="13"/>
    </row>
    <row r="33" spans="2:14" ht="12.75">
      <c r="B33" s="4" t="s">
        <v>36</v>
      </c>
      <c r="C33" s="12"/>
      <c r="D33" s="13"/>
      <c r="E33" s="20">
        <v>119</v>
      </c>
      <c r="F33" s="104">
        <v>1</v>
      </c>
      <c r="G33" s="4" t="s">
        <v>109</v>
      </c>
      <c r="H33" s="12"/>
      <c r="I33" s="12"/>
      <c r="J33" s="13"/>
      <c r="K33" s="12"/>
      <c r="L33" s="12"/>
      <c r="M33" s="12"/>
      <c r="N33" s="13"/>
    </row>
    <row r="34" spans="2:14" ht="13.5" thickBot="1">
      <c r="B34" s="4" t="s">
        <v>37</v>
      </c>
      <c r="C34" s="12"/>
      <c r="D34" s="13"/>
      <c r="E34" s="20">
        <v>61.8</v>
      </c>
      <c r="F34" s="104">
        <v>1</v>
      </c>
      <c r="G34" s="106" t="s">
        <v>110</v>
      </c>
      <c r="H34" s="11"/>
      <c r="I34" s="11"/>
      <c r="J34" s="3"/>
      <c r="K34" s="12"/>
      <c r="L34" s="12"/>
      <c r="M34" s="12"/>
      <c r="N34" s="13"/>
    </row>
    <row r="35" spans="2:14" ht="13.5" thickBot="1">
      <c r="B35" s="4" t="s">
        <v>38</v>
      </c>
      <c r="C35" s="12"/>
      <c r="D35" s="13"/>
      <c r="E35" s="20">
        <v>84</v>
      </c>
      <c r="F35" s="31">
        <v>1</v>
      </c>
      <c r="G35" s="12"/>
      <c r="H35" s="12"/>
      <c r="I35" s="12"/>
      <c r="J35" s="12"/>
      <c r="K35" s="12"/>
      <c r="L35" s="12"/>
      <c r="M35" s="12"/>
      <c r="N35" s="13"/>
    </row>
    <row r="36" spans="2:14" ht="13.5" thickBot="1">
      <c r="B36" s="4" t="s">
        <v>39</v>
      </c>
      <c r="C36" s="12"/>
      <c r="D36" s="13"/>
      <c r="E36" s="20">
        <v>106</v>
      </c>
      <c r="F36" s="110">
        <v>1</v>
      </c>
      <c r="G36" s="15" t="s">
        <v>112</v>
      </c>
      <c r="H36" s="15"/>
      <c r="I36" s="15"/>
      <c r="J36" s="15"/>
      <c r="K36" s="9"/>
      <c r="L36" s="12"/>
      <c r="M36" s="12"/>
      <c r="N36" s="13"/>
    </row>
    <row r="37" spans="2:14" ht="12.75">
      <c r="B37" s="4" t="s">
        <v>40</v>
      </c>
      <c r="C37" s="12"/>
      <c r="D37" s="13"/>
      <c r="E37" s="20">
        <v>74.6</v>
      </c>
      <c r="F37" s="41"/>
      <c r="G37" s="10" t="s">
        <v>59</v>
      </c>
      <c r="H37" s="10"/>
      <c r="I37" s="10"/>
      <c r="J37" s="10"/>
      <c r="K37" s="10"/>
      <c r="L37" s="10"/>
      <c r="M37" s="10"/>
      <c r="N37" s="8"/>
    </row>
    <row r="38" spans="2:14" ht="13.5" thickBot="1">
      <c r="B38" s="4" t="s">
        <v>41</v>
      </c>
      <c r="C38" s="12"/>
      <c r="D38" s="13"/>
      <c r="E38" s="20">
        <v>100.1</v>
      </c>
      <c r="F38" s="42">
        <v>1</v>
      </c>
      <c r="G38" s="11" t="s">
        <v>60</v>
      </c>
      <c r="H38" s="11"/>
      <c r="I38" s="11"/>
      <c r="J38" s="11"/>
      <c r="K38" s="11"/>
      <c r="L38" s="11"/>
      <c r="M38" s="11"/>
      <c r="N38" s="3"/>
    </row>
    <row r="39" spans="2:14" ht="13.5" thickBot="1">
      <c r="B39" s="4" t="s">
        <v>74</v>
      </c>
      <c r="C39" s="12"/>
      <c r="D39" s="13"/>
      <c r="E39" s="20">
        <v>142.1</v>
      </c>
      <c r="F39" s="99"/>
      <c r="G39" s="16" t="s">
        <v>75</v>
      </c>
      <c r="H39" s="12"/>
      <c r="I39" s="12"/>
      <c r="J39" s="12"/>
      <c r="K39" s="12"/>
      <c r="L39" s="12"/>
      <c r="M39" s="12"/>
      <c r="N39" s="13"/>
    </row>
    <row r="40" spans="2:24" ht="12.75">
      <c r="B40" s="4" t="s">
        <v>44</v>
      </c>
      <c r="C40" s="12"/>
      <c r="D40" s="13"/>
      <c r="E40" s="20">
        <v>120.4</v>
      </c>
      <c r="F40" s="39"/>
      <c r="G40" s="10" t="s">
        <v>49</v>
      </c>
      <c r="H40" s="10"/>
      <c r="I40" s="10"/>
      <c r="J40" s="10"/>
      <c r="K40" s="10"/>
      <c r="L40" s="10"/>
      <c r="M40" s="10"/>
      <c r="N40" s="8"/>
      <c r="R40" s="65" t="s">
        <v>76</v>
      </c>
      <c r="S40" s="10"/>
      <c r="T40" s="10"/>
      <c r="U40" s="10"/>
      <c r="V40" s="10"/>
      <c r="W40" s="10"/>
      <c r="X40" s="8"/>
    </row>
    <row r="41" spans="2:24" ht="13.5" thickBot="1">
      <c r="B41" s="4" t="s">
        <v>43</v>
      </c>
      <c r="C41" s="12"/>
      <c r="D41" s="13"/>
      <c r="E41" s="20">
        <v>246.4</v>
      </c>
      <c r="F41" s="40">
        <v>1</v>
      </c>
      <c r="G41" s="11" t="s">
        <v>80</v>
      </c>
      <c r="H41" s="11"/>
      <c r="I41" s="11"/>
      <c r="J41" s="11"/>
      <c r="K41" s="11"/>
      <c r="L41" s="11"/>
      <c r="M41" s="11"/>
      <c r="N41" s="3"/>
      <c r="R41" s="4" t="s">
        <v>17</v>
      </c>
      <c r="S41" s="12">
        <f>(E21)*F32</f>
        <v>0.06904761904761904</v>
      </c>
      <c r="T41" s="12"/>
      <c r="U41" s="12"/>
      <c r="V41" s="12"/>
      <c r="W41" s="12"/>
      <c r="X41" s="13"/>
    </row>
    <row r="42" spans="2:24" ht="13.5" thickBot="1">
      <c r="B42" s="4" t="s">
        <v>47</v>
      </c>
      <c r="C42" s="12"/>
      <c r="D42" s="13"/>
      <c r="E42" s="20">
        <v>203.6</v>
      </c>
      <c r="F42" s="6">
        <v>1</v>
      </c>
      <c r="G42" s="12"/>
      <c r="H42" s="12"/>
      <c r="I42" s="12"/>
      <c r="J42" s="12"/>
      <c r="K42" s="12"/>
      <c r="L42" s="12"/>
      <c r="M42" s="12"/>
      <c r="N42" s="13"/>
      <c r="R42" s="4" t="s">
        <v>5</v>
      </c>
      <c r="S42" s="12">
        <f>(E17)*F33</f>
        <v>0.8403361344537815</v>
      </c>
      <c r="T42" s="12"/>
      <c r="U42" s="12"/>
      <c r="V42" s="12"/>
      <c r="W42" s="12"/>
      <c r="X42" s="13"/>
    </row>
    <row r="43" spans="2:24" ht="12.75">
      <c r="B43" s="4" t="s">
        <v>45</v>
      </c>
      <c r="C43" s="12"/>
      <c r="D43" s="13"/>
      <c r="E43" s="20">
        <v>111.1</v>
      </c>
      <c r="F43" s="39"/>
      <c r="G43" s="10" t="s">
        <v>50</v>
      </c>
      <c r="H43" s="10"/>
      <c r="I43" s="10"/>
      <c r="J43" s="10"/>
      <c r="K43" s="10"/>
      <c r="L43" s="10"/>
      <c r="M43" s="10"/>
      <c r="N43" s="8"/>
      <c r="R43" s="4" t="s">
        <v>4</v>
      </c>
      <c r="S43" s="12">
        <f>(E18+G47*G58/10.8)*F34</f>
        <v>3.6415677813736065</v>
      </c>
      <c r="T43" s="12"/>
      <c r="U43" s="12"/>
      <c r="V43" s="12"/>
      <c r="W43" s="12"/>
      <c r="X43" s="13"/>
    </row>
    <row r="44" spans="2:24" ht="13.5" thickBot="1">
      <c r="B44" s="4" t="s">
        <v>46</v>
      </c>
      <c r="C44" s="12"/>
      <c r="D44" s="13"/>
      <c r="E44" s="20">
        <v>147.1</v>
      </c>
      <c r="F44" s="40">
        <v>1</v>
      </c>
      <c r="G44" s="11" t="s">
        <v>51</v>
      </c>
      <c r="H44" s="11"/>
      <c r="I44" s="11"/>
      <c r="J44" s="11"/>
      <c r="K44" s="11"/>
      <c r="L44" s="11"/>
      <c r="M44" s="11"/>
      <c r="N44" s="3"/>
      <c r="R44" s="4" t="s">
        <v>57</v>
      </c>
      <c r="S44" s="12">
        <f>(E20+G47*G59/87.6)*F45</f>
        <v>1.5933168223562741</v>
      </c>
      <c r="T44" s="12"/>
      <c r="U44" s="12"/>
      <c r="V44" s="12"/>
      <c r="W44" s="12"/>
      <c r="X44" s="13"/>
    </row>
    <row r="45" spans="2:24" ht="13.5" thickBot="1">
      <c r="B45" s="5" t="s">
        <v>42</v>
      </c>
      <c r="C45" s="11"/>
      <c r="D45" s="3"/>
      <c r="E45" s="21">
        <v>266.6</v>
      </c>
      <c r="F45" s="105">
        <v>1</v>
      </c>
      <c r="G45" s="11" t="s">
        <v>111</v>
      </c>
      <c r="H45" s="11"/>
      <c r="I45" s="11"/>
      <c r="J45" s="11"/>
      <c r="K45" s="11"/>
      <c r="L45" s="11"/>
      <c r="M45" s="11"/>
      <c r="N45" s="3"/>
      <c r="R45" s="4" t="s">
        <v>58</v>
      </c>
      <c r="S45" s="12">
        <f>F38*(E15-S42)</f>
        <v>9.24396782841823</v>
      </c>
      <c r="T45" s="12"/>
      <c r="U45" s="12"/>
      <c r="V45" s="12"/>
      <c r="W45" s="12"/>
      <c r="X45" s="13"/>
    </row>
    <row r="46" spans="18:24" ht="13.5" thickBot="1">
      <c r="R46" s="4" t="s">
        <v>12</v>
      </c>
      <c r="S46" s="12">
        <f>F37*(E15-S42)</f>
        <v>0</v>
      </c>
      <c r="T46" s="12"/>
      <c r="U46" s="12"/>
      <c r="V46" s="12"/>
      <c r="W46" s="12"/>
      <c r="X46" s="13"/>
    </row>
    <row r="47" spans="2:24" ht="12.75">
      <c r="B47" s="48" t="s">
        <v>54</v>
      </c>
      <c r="C47" s="10"/>
      <c r="D47" s="10"/>
      <c r="E47" s="10"/>
      <c r="F47" s="10"/>
      <c r="G47" s="45">
        <v>400</v>
      </c>
      <c r="H47" s="10"/>
      <c r="I47" s="10"/>
      <c r="J47" s="10"/>
      <c r="K47" s="10"/>
      <c r="L47" s="10"/>
      <c r="M47" s="10"/>
      <c r="N47" s="8"/>
      <c r="R47" s="4" t="s">
        <v>32</v>
      </c>
      <c r="S47" s="12">
        <f>(F40+F41)*E13</f>
        <v>28.226600985221673</v>
      </c>
      <c r="T47" s="12"/>
      <c r="U47" s="12"/>
      <c r="V47" s="12"/>
      <c r="W47" s="12"/>
      <c r="X47" s="13"/>
    </row>
    <row r="48" spans="2:24" ht="12.75">
      <c r="B48" s="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/>
      <c r="R48" s="4" t="s">
        <v>25</v>
      </c>
      <c r="S48" s="12">
        <f>F39*E13</f>
        <v>0</v>
      </c>
      <c r="T48" s="12"/>
      <c r="U48" s="12"/>
      <c r="V48" s="12"/>
      <c r="W48" s="12"/>
      <c r="X48" s="13"/>
    </row>
    <row r="49" spans="2:24" ht="12.75">
      <c r="B49" s="46" t="s">
        <v>56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  <c r="R49" s="4"/>
      <c r="S49" s="12"/>
      <c r="T49" s="12"/>
      <c r="U49" s="12" t="s">
        <v>78</v>
      </c>
      <c r="V49" s="12"/>
      <c r="W49" s="12"/>
      <c r="X49" s="13"/>
    </row>
    <row r="50" spans="2:24" ht="12.75">
      <c r="B50" s="4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  <c r="R50" s="4" t="s">
        <v>62</v>
      </c>
      <c r="S50" s="12">
        <f>E11-S41-2*S48</f>
        <v>468.798302991016</v>
      </c>
      <c r="T50" s="12"/>
      <c r="U50" s="12"/>
      <c r="V50" s="12"/>
      <c r="W50" s="12"/>
      <c r="X50" s="13"/>
    </row>
    <row r="51" spans="2:24" ht="12.75">
      <c r="B51" s="52" t="s">
        <v>55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  <c r="R51" s="4" t="s">
        <v>63</v>
      </c>
      <c r="S51" s="12">
        <f>E10-2*S44-S46</f>
        <v>542.3650913229633</v>
      </c>
      <c r="T51" s="12"/>
      <c r="U51" s="12" t="s">
        <v>1</v>
      </c>
      <c r="V51" s="12"/>
      <c r="W51" s="12"/>
      <c r="X51" s="13"/>
    </row>
    <row r="52" spans="2:24" ht="12.75">
      <c r="B52" s="46" t="s">
        <v>120</v>
      </c>
      <c r="C52" s="12"/>
      <c r="D52" s="12"/>
      <c r="E52" s="12"/>
      <c r="F52" s="12"/>
      <c r="G52" s="12"/>
      <c r="H52" s="137" t="str">
        <f>IF(F89&lt;0,"ATTENTION : compte tenu du volume de l'aquarium et de la base de changement"," ")</f>
        <v> </v>
      </c>
      <c r="I52" s="12"/>
      <c r="J52" s="12"/>
      <c r="K52" s="12"/>
      <c r="L52" s="12"/>
      <c r="M52" s="12"/>
      <c r="N52" s="13"/>
      <c r="R52" s="4"/>
      <c r="S52" s="12"/>
      <c r="T52" s="12"/>
      <c r="U52" s="12"/>
      <c r="V52" s="12"/>
      <c r="W52" s="12"/>
      <c r="X52" s="13"/>
    </row>
    <row r="53" spans="2:24" ht="12.75">
      <c r="B53" s="46"/>
      <c r="C53" s="12"/>
      <c r="D53" s="12"/>
      <c r="E53" s="12"/>
      <c r="F53" s="12"/>
      <c r="G53" s="47">
        <v>8</v>
      </c>
      <c r="H53" s="137" t="str">
        <f>IF(F89&lt;0,"de UN litre d'eau, vous demandez une trop forte augmentation en magnésium."," ")</f>
        <v> </v>
      </c>
      <c r="I53" s="12"/>
      <c r="J53" s="12"/>
      <c r="K53" s="12"/>
      <c r="L53" s="12"/>
      <c r="M53" s="12"/>
      <c r="N53" s="13"/>
      <c r="R53" s="4" t="s">
        <v>64</v>
      </c>
      <c r="S53" s="12">
        <f>IF(F36=1,6,1000000)</f>
        <v>6</v>
      </c>
      <c r="T53" s="12"/>
      <c r="U53" s="12"/>
      <c r="V53" s="12"/>
      <c r="W53" s="12"/>
      <c r="X53" s="13"/>
    </row>
    <row r="54" spans="2:24" ht="12.75">
      <c r="B54" s="46"/>
      <c r="C54" s="12"/>
      <c r="D54" s="12"/>
      <c r="E54" s="12"/>
      <c r="F54" s="12"/>
      <c r="G54" s="53"/>
      <c r="H54" s="137" t="str">
        <f>IF(F89&lt;0,"Lire l'article à ce sujet"," ")</f>
        <v> </v>
      </c>
      <c r="I54" s="12"/>
      <c r="J54" s="12"/>
      <c r="K54" s="12"/>
      <c r="L54" s="12"/>
      <c r="M54" s="12"/>
      <c r="N54" s="13"/>
      <c r="R54" s="4"/>
      <c r="S54" s="12"/>
      <c r="T54" s="12"/>
      <c r="U54" s="12"/>
      <c r="V54" s="12"/>
      <c r="W54" s="12"/>
      <c r="X54" s="13"/>
    </row>
    <row r="55" spans="2:24" ht="12.75">
      <c r="B55" s="52" t="s">
        <v>113</v>
      </c>
      <c r="C55" s="12"/>
      <c r="D55" s="12"/>
      <c r="E55" s="12"/>
      <c r="F55" s="12"/>
      <c r="G55" s="53"/>
      <c r="J55" s="12"/>
      <c r="L55" s="12"/>
      <c r="M55" s="12"/>
      <c r="N55" s="13"/>
      <c r="R55" s="4"/>
      <c r="S55" s="12"/>
      <c r="T55" s="12"/>
      <c r="U55" s="12"/>
      <c r="V55" s="12"/>
      <c r="W55" s="12"/>
      <c r="X55" s="13"/>
    </row>
    <row r="56" spans="2:24" ht="12.75">
      <c r="B56" s="52" t="s">
        <v>86</v>
      </c>
      <c r="C56" s="12"/>
      <c r="D56" s="12"/>
      <c r="E56" s="12"/>
      <c r="F56" s="12"/>
      <c r="G56" s="12"/>
      <c r="I56" s="12"/>
      <c r="J56" s="12"/>
      <c r="K56" s="12"/>
      <c r="L56" s="12"/>
      <c r="M56" s="12"/>
      <c r="N56" s="13"/>
      <c r="R56" s="4" t="s">
        <v>8</v>
      </c>
      <c r="S56" s="12">
        <f>IF(F36=1,S50/(1+2/S53),S50)</f>
        <v>351.59872724326203</v>
      </c>
      <c r="T56" s="12"/>
      <c r="U56" s="12"/>
      <c r="V56" s="12"/>
      <c r="W56" s="12"/>
      <c r="X56" s="13"/>
    </row>
    <row r="57" spans="2:24" ht="12.75">
      <c r="B57" s="46" t="s">
        <v>114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3"/>
      <c r="R57" s="4" t="s">
        <v>9</v>
      </c>
      <c r="S57" s="12">
        <f>S50/(S53+2)</f>
        <v>58.599787873877</v>
      </c>
      <c r="T57" s="12"/>
      <c r="U57" s="12"/>
      <c r="V57" s="12"/>
      <c r="W57" s="12"/>
      <c r="X57" s="13"/>
    </row>
    <row r="58" spans="2:24" ht="12.75">
      <c r="B58" s="4"/>
      <c r="C58" s="12"/>
      <c r="D58" s="12"/>
      <c r="E58" s="12"/>
      <c r="F58" s="12" t="s">
        <v>2</v>
      </c>
      <c r="G58" s="69">
        <v>0.0874</v>
      </c>
      <c r="H58" s="12"/>
      <c r="I58" s="12"/>
      <c r="J58" s="12"/>
      <c r="K58" s="12"/>
      <c r="L58" s="12"/>
      <c r="M58" s="12"/>
      <c r="N58" s="13"/>
      <c r="Q58" s="17"/>
      <c r="R58" s="111" t="s">
        <v>29</v>
      </c>
      <c r="S58" s="16">
        <f>2.8*(S56+2*S57+S45+S43)</f>
        <v>1348.714748082262</v>
      </c>
      <c r="T58" s="16"/>
      <c r="U58" s="12"/>
      <c r="V58" s="12"/>
      <c r="W58" s="12"/>
      <c r="X58" s="13"/>
    </row>
    <row r="59" spans="2:24" ht="13.5" thickBot="1">
      <c r="B59" s="5"/>
      <c r="C59" s="11"/>
      <c r="D59" s="11"/>
      <c r="E59" s="11"/>
      <c r="F59" s="11" t="s">
        <v>3</v>
      </c>
      <c r="G59" s="70">
        <v>0.3284</v>
      </c>
      <c r="H59" s="112"/>
      <c r="I59" s="11"/>
      <c r="J59" s="11"/>
      <c r="K59" s="11"/>
      <c r="L59" s="11"/>
      <c r="M59" s="11"/>
      <c r="N59" s="3"/>
      <c r="R59" s="4"/>
      <c r="S59" s="12"/>
      <c r="T59" s="12"/>
      <c r="U59" s="12"/>
      <c r="V59" s="12"/>
      <c r="W59" s="12"/>
      <c r="X59" s="13"/>
    </row>
    <row r="60" spans="18:24" ht="12.75">
      <c r="R60" s="4" t="s">
        <v>66</v>
      </c>
      <c r="S60" s="12">
        <f>S51/2/(G53*G47/24.3-S47+E12)-1</f>
        <v>0.7353453676181179</v>
      </c>
      <c r="T60" s="12"/>
      <c r="U60" s="12"/>
      <c r="V60" s="12"/>
      <c r="W60" s="12"/>
      <c r="X60" s="13"/>
    </row>
    <row r="61" spans="18:24" ht="12.75">
      <c r="R61" s="4" t="s">
        <v>65</v>
      </c>
      <c r="S61" s="12">
        <f>S51/2/(1+1/S60)</f>
        <v>114.91247359294665</v>
      </c>
      <c r="T61" s="12"/>
      <c r="U61" s="12"/>
      <c r="V61" s="12"/>
      <c r="W61" s="12"/>
      <c r="X61" s="13"/>
    </row>
    <row r="62" spans="18:24" ht="13.5" thickBot="1">
      <c r="R62" s="5" t="s">
        <v>6</v>
      </c>
      <c r="S62" s="11">
        <f>S51/2/(S60+1)</f>
        <v>156.270072068535</v>
      </c>
      <c r="T62" s="11"/>
      <c r="U62" s="11"/>
      <c r="V62" s="11"/>
      <c r="W62" s="11"/>
      <c r="X62" s="3"/>
    </row>
    <row r="64" ht="12.75">
      <c r="B64" t="s">
        <v>73</v>
      </c>
    </row>
    <row r="65" ht="12.75">
      <c r="B65" t="s">
        <v>67</v>
      </c>
    </row>
    <row r="66" ht="12.75">
      <c r="B66" t="s">
        <v>68</v>
      </c>
    </row>
    <row r="67" ht="13.5" thickBot="1">
      <c r="B67" t="s">
        <v>118</v>
      </c>
    </row>
    <row r="68" spans="18:22" ht="13.5" thickBot="1">
      <c r="R68" s="65" t="s">
        <v>77</v>
      </c>
      <c r="S68" s="10"/>
      <c r="T68" s="10"/>
      <c r="U68" s="10"/>
      <c r="V68" s="8"/>
    </row>
    <row r="69" spans="2:22" ht="13.5" thickBot="1">
      <c r="B69" s="65" t="s">
        <v>69</v>
      </c>
      <c r="C69" s="10"/>
      <c r="D69" s="10"/>
      <c r="E69" s="10"/>
      <c r="F69" s="10"/>
      <c r="G69" s="10"/>
      <c r="H69" s="10"/>
      <c r="I69" s="10"/>
      <c r="J69" s="10"/>
      <c r="K69" s="8"/>
      <c r="R69" s="4" t="s">
        <v>10</v>
      </c>
      <c r="S69" s="54">
        <f>(F71/E32+F74/E35+2*F75/E36+2*IF(F39=1,F77,0)/E39)/10*1000</f>
        <v>468.86735061006357</v>
      </c>
      <c r="T69" s="12" t="str">
        <f>IF(ROUND(E11/S69,2)=1,"ok","!")</f>
        <v>ok</v>
      </c>
      <c r="U69" s="12"/>
      <c r="V69" s="13"/>
    </row>
    <row r="70" spans="2:22" ht="12.75">
      <c r="B70" s="4"/>
      <c r="C70" s="57" t="s">
        <v>70</v>
      </c>
      <c r="D70" s="58"/>
      <c r="E70" s="58"/>
      <c r="F70" s="145" t="s">
        <v>71</v>
      </c>
      <c r="G70" s="146"/>
      <c r="H70" s="147"/>
      <c r="I70" s="145" t="s">
        <v>72</v>
      </c>
      <c r="J70" s="147"/>
      <c r="K70" s="13"/>
      <c r="R70" s="4" t="s">
        <v>16</v>
      </c>
      <c r="S70" s="54">
        <f>(F71/E32*100)</f>
        <v>0.06904761904761904</v>
      </c>
      <c r="T70" s="12" t="str">
        <f>IF(ROUND(S70/E21,2)=1,"ok","!")</f>
        <v>ok</v>
      </c>
      <c r="U70" s="12"/>
      <c r="V70" s="13"/>
    </row>
    <row r="71" spans="2:22" ht="12.75">
      <c r="B71" s="4"/>
      <c r="C71" s="59" t="str">
        <f>IF(F32=1,B32,"*")</f>
        <v>fluorure de sodium NaF</v>
      </c>
      <c r="D71" s="55"/>
      <c r="E71" s="55"/>
      <c r="F71" s="71">
        <f>S41*E32*10/1000</f>
        <v>0.028999999999999995</v>
      </c>
      <c r="G71" s="55"/>
      <c r="H71" s="60"/>
      <c r="I71" s="73">
        <f>IF(F32=1,J120,"*")</f>
        <v>2.8999999999999995</v>
      </c>
      <c r="J71" s="60"/>
      <c r="K71" s="13"/>
      <c r="R71" s="4" t="s">
        <v>15</v>
      </c>
      <c r="S71" s="54">
        <f>F72/E33*100</f>
        <v>0.8403361344537815</v>
      </c>
      <c r="T71" s="12" t="str">
        <f>IF(ROUND(E17/S71,2)=1,"ok","!")</f>
        <v>ok</v>
      </c>
      <c r="U71" s="12"/>
      <c r="V71" s="13"/>
    </row>
    <row r="72" spans="2:22" ht="12.75">
      <c r="B72" s="4"/>
      <c r="C72" s="59" t="str">
        <f>IF(F33=1,B33,"*")</f>
        <v>bromure de potassium KBr</v>
      </c>
      <c r="D72" s="55"/>
      <c r="E72" s="55"/>
      <c r="F72" s="71">
        <f>S42*E33/100</f>
        <v>1</v>
      </c>
      <c r="G72" s="55"/>
      <c r="H72" s="60"/>
      <c r="I72" s="73">
        <f>IF(F33=1,J121,"*")</f>
        <v>100</v>
      </c>
      <c r="J72" s="60"/>
      <c r="K72" s="13"/>
      <c r="R72" s="4" t="s">
        <v>14</v>
      </c>
      <c r="S72" s="54">
        <f>F73/E34*100-G58/C18*G47</f>
        <v>0.40453074433657044</v>
      </c>
      <c r="T72" s="12" t="str">
        <f>IF(ROUND(E18/S72,2)=1,"ok","!")</f>
        <v>ok</v>
      </c>
      <c r="U72" s="12"/>
      <c r="V72" s="13"/>
    </row>
    <row r="73" spans="2:22" ht="12.75">
      <c r="B73" s="4"/>
      <c r="C73" s="59" t="str">
        <f>IF(F34=1,B34,"*")</f>
        <v>acide borique H3BO3</v>
      </c>
      <c r="D73" s="55"/>
      <c r="E73" s="55"/>
      <c r="F73" s="71">
        <f>S43*E34/100</f>
        <v>2.250488888888889</v>
      </c>
      <c r="G73" s="55"/>
      <c r="H73" s="60"/>
      <c r="I73" s="73">
        <f>IF(F34=1,J122,"*")</f>
        <v>112.52444444444446</v>
      </c>
      <c r="J73" s="60"/>
      <c r="K73" s="13"/>
      <c r="R73" s="4" t="s">
        <v>13</v>
      </c>
      <c r="S73" s="54">
        <f>IF(F37=1,(F76/E37+F72/E33)*100,(F76/E38+F72/E33)*100)</f>
        <v>10.084303962872012</v>
      </c>
      <c r="T73" s="12" t="str">
        <f>IF(ROUND(E15/S73,2)=1,"ok","!")</f>
        <v>ok</v>
      </c>
      <c r="U73" s="12" t="s">
        <v>78</v>
      </c>
      <c r="V73" s="13"/>
    </row>
    <row r="74" spans="2:22" ht="12.75">
      <c r="B74" s="4"/>
      <c r="C74" s="59" t="str">
        <f>B35</f>
        <v>hydrogénocarbonate de sodium NaHCO3</v>
      </c>
      <c r="D74" s="55"/>
      <c r="E74" s="55"/>
      <c r="F74" s="71">
        <f>S56*E35/100</f>
        <v>295.3429308843401</v>
      </c>
      <c r="G74" s="55"/>
      <c r="H74" s="60"/>
      <c r="I74" s="73" t="s">
        <v>31</v>
      </c>
      <c r="J74" s="60"/>
      <c r="K74" s="13"/>
      <c r="R74" s="4" t="s">
        <v>11</v>
      </c>
      <c r="S74" s="54">
        <f>((2*F88/E42+2*F90/E45+2*F89/IF(F43=1,E43,E44))+IF(F37=1,F76/E37,0))*100</f>
        <v>545.5517249676758</v>
      </c>
      <c r="T74" s="12" t="str">
        <f>IF(ROUND(E10/S74,2)=1,"ok","!")</f>
        <v>ok</v>
      </c>
      <c r="U74" s="12"/>
      <c r="V74" s="13"/>
    </row>
    <row r="75" spans="2:22" ht="12.75">
      <c r="B75" s="4"/>
      <c r="C75" s="59" t="str">
        <f>IF(F36=1,B36,"*")</f>
        <v>carbonate de sodium Na2CO3</v>
      </c>
      <c r="D75" s="55"/>
      <c r="E75" s="55"/>
      <c r="F75" s="71">
        <f>IF(F36=1,S57*E36/100,0)</f>
        <v>62.115775146309616</v>
      </c>
      <c r="G75" s="55"/>
      <c r="H75" s="60"/>
      <c r="I75" s="73" t="s">
        <v>31</v>
      </c>
      <c r="J75" s="60"/>
      <c r="K75" s="13"/>
      <c r="R75" s="4" t="s">
        <v>22</v>
      </c>
      <c r="S75" s="54">
        <f>(IF(F39=1,0,F101)/IF(F40=1,E40,E41)+IF(F39=1,F77,0)/E39)*100</f>
        <v>28.226600985221673</v>
      </c>
      <c r="T75" s="12" t="str">
        <f>IF(E13/S75=1,"ok","!")</f>
        <v>ok</v>
      </c>
      <c r="U75" s="12" t="s">
        <v>1</v>
      </c>
      <c r="V75" s="13"/>
    </row>
    <row r="76" spans="2:22" ht="12.75">
      <c r="B76" s="4"/>
      <c r="C76" s="59" t="str">
        <f>IF(F37=1,B37,B38)</f>
        <v>hydrogénocarbonate de potassium KHCO3</v>
      </c>
      <c r="D76" s="55"/>
      <c r="E76" s="55"/>
      <c r="F76" s="71">
        <f>IF(F38=1,S45*E38/100,S46*E37/100)</f>
        <v>9.253211796246648</v>
      </c>
      <c r="G76" s="55"/>
      <c r="H76" s="60"/>
      <c r="I76" s="73">
        <f>J123</f>
        <v>92.53211796246647</v>
      </c>
      <c r="J76" s="60"/>
      <c r="K76" s="13"/>
      <c r="R76" s="4" t="s">
        <v>20</v>
      </c>
      <c r="S76" s="54">
        <f>F90/E45*100-G59/C20*G47</f>
        <v>0.09377344336084015</v>
      </c>
      <c r="T76" s="12" t="str">
        <f>IF(ROUND(E20/S76,2)=1,"ok","!")</f>
        <v>ok</v>
      </c>
      <c r="U76" s="12"/>
      <c r="V76" s="13"/>
    </row>
    <row r="77" spans="2:22" ht="13.5" thickBot="1">
      <c r="B77" s="4"/>
      <c r="C77" s="61" t="str">
        <f>IF(F39=1,B39,"*")</f>
        <v>*</v>
      </c>
      <c r="D77" s="62"/>
      <c r="E77" s="62"/>
      <c r="F77" s="72">
        <f>IF(F39=1,S48*E39/100,0)</f>
        <v>0</v>
      </c>
      <c r="G77" s="62"/>
      <c r="H77" s="64"/>
      <c r="I77" s="74" t="s">
        <v>31</v>
      </c>
      <c r="J77" s="64"/>
      <c r="K77" s="13"/>
      <c r="R77" s="4" t="s">
        <v>19</v>
      </c>
      <c r="S77" s="54">
        <f>F89/(IF(F44=1,E44,E43))*100</f>
        <v>114.91247359294665</v>
      </c>
      <c r="T77" s="18">
        <f>IF(E14/S77=1,"ok",S77/E14)</f>
        <v>11.209300308701891</v>
      </c>
      <c r="U77" s="12"/>
      <c r="V77" s="13"/>
    </row>
    <row r="78" spans="2:22" ht="12.75">
      <c r="B78" s="4"/>
      <c r="C78" s="12"/>
      <c r="D78" s="12"/>
      <c r="E78" s="12"/>
      <c r="F78" s="12"/>
      <c r="G78" s="12"/>
      <c r="H78" s="12"/>
      <c r="I78" s="12"/>
      <c r="J78" s="12"/>
      <c r="K78" s="13"/>
      <c r="R78" s="4" t="s">
        <v>18</v>
      </c>
      <c r="S78" s="54">
        <f>(F88/E42+IF(F39=1,0,F101)/IF(F40=1,E40,E41))*100</f>
        <v>184.49667305375667</v>
      </c>
      <c r="T78" s="18">
        <f>IF(E12/S78=1,"ok",S78/E12)</f>
        <v>3.493631197334901</v>
      </c>
      <c r="U78" s="12"/>
      <c r="V78" s="13"/>
    </row>
    <row r="79" spans="2:22" ht="12.75">
      <c r="B79" s="4"/>
      <c r="C79" s="12"/>
      <c r="D79" s="12"/>
      <c r="E79" s="12"/>
      <c r="F79" s="12"/>
      <c r="G79" s="12"/>
      <c r="H79" s="12"/>
      <c r="I79" s="12"/>
      <c r="J79" s="12"/>
      <c r="K79" s="13"/>
      <c r="R79" s="4" t="s">
        <v>21</v>
      </c>
      <c r="S79" s="54">
        <f>(F74/E35+IF(F38=1,F76,0)/E38)*100</f>
        <v>360.8426950716802</v>
      </c>
      <c r="T79" s="18">
        <f>IF(E16/S79=1,"ok",S79/E16)</f>
        <v>204.80261071635903</v>
      </c>
      <c r="U79" s="12"/>
      <c r="V79" s="13"/>
    </row>
    <row r="80" spans="2:22" ht="13.5" thickBot="1">
      <c r="B80" s="4"/>
      <c r="C80" s="12" t="s">
        <v>81</v>
      </c>
      <c r="D80" s="12"/>
      <c r="E80" s="12"/>
      <c r="F80" s="12"/>
      <c r="G80" s="12"/>
      <c r="H80" s="12"/>
      <c r="I80" s="12"/>
      <c r="J80" s="12"/>
      <c r="K80" s="13"/>
      <c r="R80" s="5" t="s">
        <v>27</v>
      </c>
      <c r="S80" s="113">
        <f>IF(F36=1,F75/E36,0)*100</f>
        <v>58.599787873877</v>
      </c>
      <c r="T80" s="114">
        <f>IF(E19/S80=1,"ok",S80/E19)</f>
        <v>200.37346821390196</v>
      </c>
      <c r="U80" s="11"/>
      <c r="V80" s="3"/>
    </row>
    <row r="81" spans="2:20" ht="12.75">
      <c r="B81" s="4"/>
      <c r="C81" s="12"/>
      <c r="D81" s="12"/>
      <c r="E81" s="12"/>
      <c r="F81" s="12"/>
      <c r="G81" s="12"/>
      <c r="H81" s="66">
        <f>IF(F39=1,5,4)</f>
        <v>4</v>
      </c>
      <c r="I81" s="12" t="s">
        <v>87</v>
      </c>
      <c r="J81" s="12"/>
      <c r="K81" s="13"/>
      <c r="S81" s="43"/>
      <c r="T81" s="44"/>
    </row>
    <row r="82" spans="2:19" ht="12.75">
      <c r="B82" s="4"/>
      <c r="C82" s="12" t="s">
        <v>82</v>
      </c>
      <c r="D82" s="12"/>
      <c r="E82" s="12"/>
      <c r="F82" s="12"/>
      <c r="G82" s="12"/>
      <c r="H82" s="12"/>
      <c r="I82" s="12"/>
      <c r="J82" s="12"/>
      <c r="K82" s="13"/>
      <c r="S82" s="43"/>
    </row>
    <row r="83" spans="2:19" ht="13.5" thickBot="1">
      <c r="B83" s="5"/>
      <c r="C83" s="11"/>
      <c r="D83" s="11"/>
      <c r="E83" s="11"/>
      <c r="F83" s="11"/>
      <c r="G83" s="11"/>
      <c r="H83" s="11"/>
      <c r="I83" s="11"/>
      <c r="J83" s="67">
        <f>IF(F39=1,0.5,0.4)</f>
        <v>0.4</v>
      </c>
      <c r="K83" s="3" t="s">
        <v>88</v>
      </c>
      <c r="S83" s="43"/>
    </row>
    <row r="84" ht="12.75">
      <c r="S84" s="43"/>
    </row>
    <row r="85" ht="13.5" thickBot="1">
      <c r="S85" s="43"/>
    </row>
    <row r="86" spans="2:19" ht="13.5" thickBot="1">
      <c r="B86" s="65" t="s">
        <v>79</v>
      </c>
      <c r="C86" s="10"/>
      <c r="D86" s="10"/>
      <c r="E86" s="10"/>
      <c r="F86" s="10"/>
      <c r="G86" s="10"/>
      <c r="H86" s="10"/>
      <c r="I86" s="10"/>
      <c r="J86" s="10"/>
      <c r="K86" s="8"/>
      <c r="S86" s="43"/>
    </row>
    <row r="87" spans="2:11" ht="12.75">
      <c r="B87" s="4"/>
      <c r="C87" s="57" t="s">
        <v>70</v>
      </c>
      <c r="D87" s="58"/>
      <c r="E87" s="58"/>
      <c r="F87" s="145" t="s">
        <v>71</v>
      </c>
      <c r="G87" s="146"/>
      <c r="H87" s="147"/>
      <c r="I87" s="145" t="s">
        <v>72</v>
      </c>
      <c r="J87" s="147"/>
      <c r="K87" s="13"/>
    </row>
    <row r="88" spans="2:11" ht="12.75">
      <c r="B88" s="4"/>
      <c r="C88" s="59" t="str">
        <f>B42</f>
        <v>chlorure de magnésium hexahydraté MgCl2,6H2O</v>
      </c>
      <c r="D88" s="55"/>
      <c r="E88" s="55"/>
      <c r="F88" s="71">
        <f>S62*E42/100</f>
        <v>318.1658667315372</v>
      </c>
      <c r="G88" s="55"/>
      <c r="H88" s="60"/>
      <c r="I88" s="56" t="s">
        <v>31</v>
      </c>
      <c r="J88" s="60"/>
      <c r="K88" s="13"/>
    </row>
    <row r="89" spans="2:11" ht="12.75">
      <c r="B89" s="4"/>
      <c r="C89" s="59" t="str">
        <f>IF(F43=1,B43,B44)</f>
        <v>chlorure de calcium dihydraté CaCl2,2H2O</v>
      </c>
      <c r="D89" s="55"/>
      <c r="E89" s="55"/>
      <c r="F89" s="71">
        <f>IF(F43=1,S61*E43/100,S61*E44/100)</f>
        <v>169.0362486552245</v>
      </c>
      <c r="G89" s="55"/>
      <c r="H89" s="60"/>
      <c r="I89" s="56" t="s">
        <v>31</v>
      </c>
      <c r="J89" s="60"/>
      <c r="K89" s="13"/>
    </row>
    <row r="90" spans="2:11" ht="13.5" thickBot="1">
      <c r="B90" s="4"/>
      <c r="C90" s="61" t="str">
        <f>IF(F45=1,B45,"*")</f>
        <v>chlorure de strontium hexahydraté SrCl2</v>
      </c>
      <c r="D90" s="62"/>
      <c r="E90" s="62"/>
      <c r="F90" s="72">
        <f>S44*E45/100</f>
        <v>4.247782648401827</v>
      </c>
      <c r="G90" s="62"/>
      <c r="H90" s="64"/>
      <c r="I90" s="74">
        <f>IF(F45=1,J124,"*")</f>
        <v>42.477826484018266</v>
      </c>
      <c r="J90" s="64"/>
      <c r="K90" s="13"/>
    </row>
    <row r="91" spans="2:11" ht="12.75">
      <c r="B91" s="4"/>
      <c r="C91" s="137" t="str">
        <f>IF(F89&lt;0,"Problème avec la masse de CaCl2 : si vous continuez, il ne faudra pas mettre de CaCl2 dans la solution B et vous perturberez la"," ")</f>
        <v> </v>
      </c>
      <c r="D91" s="12"/>
      <c r="E91" s="12"/>
      <c r="G91" s="12"/>
      <c r="H91" s="12"/>
      <c r="I91" s="12"/>
      <c r="J91" s="12"/>
      <c r="K91" s="13"/>
    </row>
    <row r="92" spans="2:11" ht="12.75">
      <c r="B92" s="4"/>
      <c r="C92" s="137" t="str">
        <f>IF(F89&lt;0,"composition ionique de l'eau, en ajoutant trop de chlorure (via MgCl2). Evidemment, vous n'ajouterez pas de calcium ainsi !"," ")</f>
        <v> </v>
      </c>
      <c r="D92" s="12"/>
      <c r="E92" s="12"/>
      <c r="G92" s="12"/>
      <c r="H92" s="12"/>
      <c r="I92" s="12"/>
      <c r="J92" s="12"/>
      <c r="K92" s="13"/>
    </row>
    <row r="93" spans="2:11" ht="12.75">
      <c r="B93" s="4"/>
      <c r="C93" s="12" t="s">
        <v>81</v>
      </c>
      <c r="D93" s="12"/>
      <c r="E93" s="12"/>
      <c r="F93" s="12"/>
      <c r="G93" s="12"/>
      <c r="H93" s="12"/>
      <c r="I93" s="12"/>
      <c r="J93" s="12"/>
      <c r="K93" s="13"/>
    </row>
    <row r="94" spans="2:11" ht="12.75">
      <c r="B94" s="4"/>
      <c r="C94" s="12"/>
      <c r="D94" s="12"/>
      <c r="E94" s="12"/>
      <c r="F94" s="12"/>
      <c r="G94" s="12"/>
      <c r="H94" s="66">
        <f>IF(F39=1,5,4)</f>
        <v>4</v>
      </c>
      <c r="I94" s="12" t="s">
        <v>24</v>
      </c>
      <c r="J94" s="12"/>
      <c r="K94" s="13"/>
    </row>
    <row r="95" spans="2:11" ht="12.75">
      <c r="B95" s="4"/>
      <c r="C95" s="12" t="s">
        <v>84</v>
      </c>
      <c r="D95" s="12"/>
      <c r="E95" s="12"/>
      <c r="F95" s="12"/>
      <c r="G95" s="12"/>
      <c r="H95" s="12"/>
      <c r="I95" s="12"/>
      <c r="J95" s="12"/>
      <c r="K95" s="13"/>
    </row>
    <row r="96" spans="2:11" ht="13.5" thickBot="1">
      <c r="B96" s="5"/>
      <c r="C96" s="11"/>
      <c r="D96" s="11"/>
      <c r="E96" s="11"/>
      <c r="F96" s="11"/>
      <c r="G96" s="11"/>
      <c r="H96" s="11"/>
      <c r="I96" s="11"/>
      <c r="J96" s="67">
        <f>IF(F39=1,0.5,0.4)</f>
        <v>0.4</v>
      </c>
      <c r="K96" s="3" t="s">
        <v>30</v>
      </c>
    </row>
    <row r="98" ht="13.5" thickBot="1"/>
    <row r="99" spans="2:11" ht="13.5" thickBot="1">
      <c r="B99" s="65" t="s">
        <v>85</v>
      </c>
      <c r="C99" s="10"/>
      <c r="D99" s="10"/>
      <c r="E99" s="10"/>
      <c r="F99" s="10"/>
      <c r="G99" s="10"/>
      <c r="H99" s="10"/>
      <c r="I99" s="10"/>
      <c r="J99" s="10"/>
      <c r="K99" s="8"/>
    </row>
    <row r="100" spans="2:11" ht="12.75">
      <c r="B100" s="4"/>
      <c r="C100" s="57" t="s">
        <v>121</v>
      </c>
      <c r="D100" s="58"/>
      <c r="E100" s="58"/>
      <c r="F100" s="145" t="s">
        <v>71</v>
      </c>
      <c r="G100" s="146"/>
      <c r="H100" s="147"/>
      <c r="I100" s="145" t="s">
        <v>72</v>
      </c>
      <c r="J100" s="147"/>
      <c r="K100" s="13"/>
    </row>
    <row r="101" spans="2:11" ht="13.5" thickBot="1">
      <c r="B101" s="4"/>
      <c r="C101" s="61" t="str">
        <f>IF(F39=1,"",IF(F40=1,B40,B41))</f>
        <v>sulfate de magnésium heptahydraté MgSO4,7H2O</v>
      </c>
      <c r="D101" s="62"/>
      <c r="E101" s="62"/>
      <c r="F101" s="72">
        <f>IF(F39=1,0,IF(F40=1,E40*S47/100,E41*S47/100))</f>
        <v>69.5503448275862</v>
      </c>
      <c r="G101" s="62"/>
      <c r="H101" s="64"/>
      <c r="I101" s="63" t="s">
        <v>31</v>
      </c>
      <c r="J101" s="64"/>
      <c r="K101" s="13"/>
    </row>
    <row r="102" spans="2:11" ht="12.75">
      <c r="B102" s="4"/>
      <c r="C102" s="12"/>
      <c r="D102" s="12"/>
      <c r="E102" s="12"/>
      <c r="F102" s="54"/>
      <c r="G102" s="12"/>
      <c r="H102" s="12"/>
      <c r="I102" s="12"/>
      <c r="J102" s="12"/>
      <c r="K102" s="13"/>
    </row>
    <row r="103" spans="2:11" ht="12.75">
      <c r="B103" s="4"/>
      <c r="C103" s="12"/>
      <c r="D103" s="12"/>
      <c r="E103" s="12"/>
      <c r="F103" s="12"/>
      <c r="G103" s="12"/>
      <c r="H103" s="12"/>
      <c r="I103" s="12"/>
      <c r="J103" s="12"/>
      <c r="K103" s="13"/>
    </row>
    <row r="104" spans="2:11" ht="12.75">
      <c r="B104" s="4"/>
      <c r="C104" s="12" t="s">
        <v>122</v>
      </c>
      <c r="D104" s="12"/>
      <c r="E104" s="12"/>
      <c r="F104" s="12"/>
      <c r="G104" s="12"/>
      <c r="H104" s="12"/>
      <c r="I104" s="12"/>
      <c r="J104" s="12"/>
      <c r="K104" s="13"/>
    </row>
    <row r="105" spans="2:11" ht="12.75">
      <c r="B105" s="4"/>
      <c r="C105" s="12"/>
      <c r="D105" s="12"/>
      <c r="E105" s="12"/>
      <c r="F105" s="12"/>
      <c r="G105" s="12"/>
      <c r="H105" s="66">
        <f>IF(F39=1,0,2)</f>
        <v>2</v>
      </c>
      <c r="I105" s="12" t="s">
        <v>24</v>
      </c>
      <c r="J105" s="12"/>
      <c r="K105" s="13"/>
    </row>
    <row r="106" spans="2:11" ht="12.75">
      <c r="B106" s="4"/>
      <c r="C106" s="12" t="s">
        <v>83</v>
      </c>
      <c r="D106" s="12"/>
      <c r="E106" s="12"/>
      <c r="F106" s="12"/>
      <c r="G106" s="12"/>
      <c r="H106" s="12"/>
      <c r="I106" s="12"/>
      <c r="J106" s="12"/>
      <c r="K106" s="13"/>
    </row>
    <row r="107" spans="2:11" ht="13.5" thickBot="1">
      <c r="B107" s="5"/>
      <c r="C107" s="11"/>
      <c r="D107" s="11"/>
      <c r="E107" s="11"/>
      <c r="F107" s="11"/>
      <c r="G107" s="11"/>
      <c r="H107" s="11"/>
      <c r="I107" s="11"/>
      <c r="J107" s="67">
        <f>IF(F39=1,0,0.2)</f>
        <v>0.2</v>
      </c>
      <c r="K107" s="3" t="s">
        <v>30</v>
      </c>
    </row>
    <row r="109" ht="13.5" thickBot="1"/>
    <row r="110" spans="2:11" ht="12.75">
      <c r="B110" s="65" t="s">
        <v>89</v>
      </c>
      <c r="C110" s="10"/>
      <c r="D110" s="10"/>
      <c r="E110" s="10"/>
      <c r="F110" s="10"/>
      <c r="G110" s="10"/>
      <c r="H110" s="10"/>
      <c r="I110" s="10"/>
      <c r="J110" s="10"/>
      <c r="K110" s="8"/>
    </row>
    <row r="111" spans="2:11" ht="12.75">
      <c r="B111" s="52" t="s">
        <v>99</v>
      </c>
      <c r="C111" s="12"/>
      <c r="D111" s="12"/>
      <c r="E111" s="12"/>
      <c r="F111" s="12"/>
      <c r="G111" s="12"/>
      <c r="H111" s="12"/>
      <c r="I111" s="12"/>
      <c r="J111" s="12"/>
      <c r="K111" s="13"/>
    </row>
    <row r="112" spans="2:11" ht="12.75">
      <c r="B112" s="4" t="s">
        <v>96</v>
      </c>
      <c r="C112" s="12"/>
      <c r="D112" s="12"/>
      <c r="E112" s="12"/>
      <c r="F112" s="12"/>
      <c r="G112" s="12"/>
      <c r="H112" s="12"/>
      <c r="I112" s="12"/>
      <c r="J112" s="12"/>
      <c r="K112" s="13"/>
    </row>
    <row r="113" spans="2:11" ht="12.75">
      <c r="B113" s="4" t="s">
        <v>115</v>
      </c>
      <c r="C113" s="12"/>
      <c r="D113" s="12"/>
      <c r="E113" s="12"/>
      <c r="F113" s="12"/>
      <c r="G113" s="12"/>
      <c r="H113" s="12"/>
      <c r="I113" s="12"/>
      <c r="J113" s="12"/>
      <c r="K113" s="13"/>
    </row>
    <row r="114" spans="2:11" ht="12.75">
      <c r="B114" s="4" t="s">
        <v>94</v>
      </c>
      <c r="C114" s="12"/>
      <c r="D114" s="12"/>
      <c r="E114" s="12"/>
      <c r="F114" s="12"/>
      <c r="G114" s="12"/>
      <c r="H114" s="12"/>
      <c r="I114" s="12"/>
      <c r="J114" s="12"/>
      <c r="K114" s="13"/>
    </row>
    <row r="115" spans="2:11" ht="12.75">
      <c r="B115" s="4" t="s">
        <v>97</v>
      </c>
      <c r="C115" s="12"/>
      <c r="D115" s="12"/>
      <c r="E115" s="12"/>
      <c r="F115" s="12"/>
      <c r="G115" s="12"/>
      <c r="H115" s="12"/>
      <c r="I115" s="12"/>
      <c r="J115" s="12"/>
      <c r="K115" s="13"/>
    </row>
    <row r="116" spans="2:11" ht="12.75">
      <c r="B116" s="4" t="s">
        <v>98</v>
      </c>
      <c r="C116" s="12"/>
      <c r="D116" s="12"/>
      <c r="E116" s="12"/>
      <c r="F116" s="12"/>
      <c r="G116" s="12"/>
      <c r="H116" s="12"/>
      <c r="I116" s="12"/>
      <c r="J116" s="12"/>
      <c r="K116" s="13"/>
    </row>
    <row r="117" spans="2:11" ht="12.75">
      <c r="B117" s="4" t="s">
        <v>119</v>
      </c>
      <c r="C117" s="12"/>
      <c r="D117" s="12"/>
      <c r="E117" s="12"/>
      <c r="F117" s="12"/>
      <c r="G117" s="12"/>
      <c r="H117" s="12"/>
      <c r="I117" s="12"/>
      <c r="J117" s="12"/>
      <c r="K117" s="13"/>
    </row>
    <row r="118" spans="2:11" ht="13.5" thickBot="1">
      <c r="B118" s="4"/>
      <c r="C118" s="12"/>
      <c r="D118" s="12"/>
      <c r="E118" s="12"/>
      <c r="F118" s="12"/>
      <c r="G118" s="12"/>
      <c r="H118" s="12"/>
      <c r="I118" s="12"/>
      <c r="J118" s="12"/>
      <c r="K118" s="13"/>
    </row>
    <row r="119" spans="2:11" ht="13.5" thickBot="1">
      <c r="B119" s="4"/>
      <c r="C119" s="3"/>
      <c r="D119" s="85" t="s">
        <v>91</v>
      </c>
      <c r="E119" s="86" t="s">
        <v>92</v>
      </c>
      <c r="F119" s="87"/>
      <c r="G119" s="86" t="s">
        <v>93</v>
      </c>
      <c r="H119" s="88"/>
      <c r="I119" s="87"/>
      <c r="J119" s="86" t="s">
        <v>95</v>
      </c>
      <c r="K119" s="87"/>
    </row>
    <row r="120" spans="2:11" ht="12.75">
      <c r="B120" s="4"/>
      <c r="C120" s="75" t="s">
        <v>90</v>
      </c>
      <c r="D120" s="76" t="str">
        <f>IF(F32=1,"NaF","*")</f>
        <v>NaF</v>
      </c>
      <c r="E120" s="115">
        <v>10</v>
      </c>
      <c r="F120" s="77"/>
      <c r="G120" s="78"/>
      <c r="H120" s="100">
        <v>1</v>
      </c>
      <c r="I120" s="77"/>
      <c r="J120" s="120">
        <f>IF(F32=1,1000*H120*F71/E120,"*")</f>
        <v>2.8999999999999995</v>
      </c>
      <c r="K120" s="89"/>
    </row>
    <row r="121" spans="2:11" ht="12.75">
      <c r="B121" s="4"/>
      <c r="C121" s="79" t="s">
        <v>90</v>
      </c>
      <c r="D121" s="80" t="str">
        <f>IF(F33=1,"KBr","*")</f>
        <v>KBr</v>
      </c>
      <c r="E121" s="116">
        <v>10</v>
      </c>
      <c r="F121" s="80"/>
      <c r="G121" s="81"/>
      <c r="H121" s="101">
        <v>1</v>
      </c>
      <c r="I121" s="80"/>
      <c r="J121" s="117">
        <f>IF(F33=1,1000*H121*F72/E121,"*")</f>
        <v>100</v>
      </c>
      <c r="K121" s="90"/>
    </row>
    <row r="122" spans="2:11" ht="12.75">
      <c r="B122" s="4"/>
      <c r="C122" s="79" t="s">
        <v>90</v>
      </c>
      <c r="D122" s="80" t="str">
        <f>IF(F34=1,"H3BO3","*")</f>
        <v>H3BO3</v>
      </c>
      <c r="E122" s="116">
        <v>10</v>
      </c>
      <c r="F122" s="80"/>
      <c r="G122" s="81"/>
      <c r="H122" s="101">
        <v>0.5</v>
      </c>
      <c r="I122" s="80"/>
      <c r="J122" s="117">
        <f>IF(F34=1,1000*F73*H122/E122,"*")</f>
        <v>112.52444444444446</v>
      </c>
      <c r="K122" s="90"/>
    </row>
    <row r="123" spans="2:11" ht="12.75">
      <c r="B123" s="4"/>
      <c r="C123" s="79" t="s">
        <v>90</v>
      </c>
      <c r="D123" s="80" t="str">
        <f>IF(F37=1,"KCl","KHCO3")</f>
        <v>KHCO3</v>
      </c>
      <c r="E123" s="116">
        <v>50</v>
      </c>
      <c r="F123" s="80"/>
      <c r="G123" s="81"/>
      <c r="H123" s="101">
        <v>0.5</v>
      </c>
      <c r="I123" s="80"/>
      <c r="J123" s="117">
        <f>1000*F76*H123/E123</f>
        <v>92.53211796246647</v>
      </c>
      <c r="K123" s="90"/>
    </row>
    <row r="124" spans="2:11" ht="13.5" thickBot="1">
      <c r="B124" s="4"/>
      <c r="C124" s="82" t="s">
        <v>90</v>
      </c>
      <c r="D124" s="83" t="str">
        <f>IF(F45=1,"SrCl2,6H2O","*")</f>
        <v>SrCl2,6H2O</v>
      </c>
      <c r="E124" s="118">
        <v>50</v>
      </c>
      <c r="F124" s="83"/>
      <c r="G124" s="84"/>
      <c r="H124" s="102">
        <v>0.5</v>
      </c>
      <c r="I124" s="83"/>
      <c r="J124" s="119">
        <f>IF(F45=1,1000*F90*H124/E124,"*")</f>
        <v>42.477826484018266</v>
      </c>
      <c r="K124" s="91"/>
    </row>
    <row r="125" spans="2:11" ht="13.5" thickBot="1">
      <c r="B125" s="5"/>
      <c r="C125" s="11"/>
      <c r="D125" s="11"/>
      <c r="E125" s="11"/>
      <c r="F125" s="11"/>
      <c r="G125" s="11"/>
      <c r="H125" s="11"/>
      <c r="I125" s="11"/>
      <c r="J125" s="11"/>
      <c r="K125" s="3"/>
    </row>
    <row r="126" ht="12.75">
      <c r="R126">
        <f>IF(F89&gt;0,1,0)</f>
        <v>1</v>
      </c>
    </row>
    <row r="127" spans="8:18" ht="13.5" thickBot="1">
      <c r="H127" s="141"/>
      <c r="I127" s="141"/>
      <c r="J127" s="141"/>
      <c r="K127" s="141"/>
      <c r="R127">
        <f>IF(H130&gt;0,0,1)</f>
        <v>0</v>
      </c>
    </row>
    <row r="128" spans="2:18" ht="12.75">
      <c r="B128" s="65" t="s">
        <v>104</v>
      </c>
      <c r="C128" s="10"/>
      <c r="D128" s="10"/>
      <c r="E128" s="10"/>
      <c r="F128" s="10"/>
      <c r="G128" s="10"/>
      <c r="H128" s="10"/>
      <c r="I128" s="10"/>
      <c r="J128" s="10"/>
      <c r="K128" s="8"/>
      <c r="R128">
        <f>R126*R127</f>
        <v>0</v>
      </c>
    </row>
    <row r="129" spans="2:11" ht="12.75">
      <c r="B129" s="4" t="s">
        <v>100</v>
      </c>
      <c r="C129" s="12"/>
      <c r="D129" s="12"/>
      <c r="E129" s="12"/>
      <c r="F129" s="12"/>
      <c r="G129" s="12"/>
      <c r="H129" s="97">
        <f>G53</f>
        <v>8</v>
      </c>
      <c r="I129" s="92" t="s">
        <v>0</v>
      </c>
      <c r="J129" s="12"/>
      <c r="K129" s="13"/>
    </row>
    <row r="130" spans="2:11" ht="12.75">
      <c r="B130" s="4" t="s">
        <v>101</v>
      </c>
      <c r="C130" s="12"/>
      <c r="D130" s="12"/>
      <c r="E130" s="12"/>
      <c r="F130" s="12"/>
      <c r="G130" s="12"/>
      <c r="H130" s="98">
        <f>IF(F89&gt;0,(S77-E14)*C14/G47,-D14/G47)</f>
        <v>10.49225963812798</v>
      </c>
      <c r="I130" s="93" t="s">
        <v>0</v>
      </c>
      <c r="J130" s="138" t="str">
        <f>IF(R128=1,"&lt;-- Cette valeur indique que vous avez souhaité une"," ")</f>
        <v> </v>
      </c>
      <c r="K130" s="13"/>
    </row>
    <row r="131" spans="2:11" ht="12.75">
      <c r="B131" s="4" t="s">
        <v>102</v>
      </c>
      <c r="C131" s="12"/>
      <c r="D131" s="12"/>
      <c r="E131" s="12"/>
      <c r="F131" s="12"/>
      <c r="G131" s="12"/>
      <c r="H131" s="96">
        <f>2.8*((S79-E16)+2*(S80-E19)+(S72-E18))/G47</f>
        <v>3.3298682227800644</v>
      </c>
      <c r="I131" s="95" t="s">
        <v>29</v>
      </c>
      <c r="J131" s="138" t="str">
        <f>IF(R128=1,"hausse importante du magnésium, et que cela a"," ")</f>
        <v> </v>
      </c>
      <c r="K131" s="13"/>
    </row>
    <row r="132" spans="2:11" ht="12.75">
      <c r="B132" s="4" t="s">
        <v>116</v>
      </c>
      <c r="C132" s="12"/>
      <c r="D132" s="12"/>
      <c r="E132" s="12"/>
      <c r="F132" s="12"/>
      <c r="G132" s="12"/>
      <c r="H132" s="94"/>
      <c r="I132" s="95"/>
      <c r="J132" s="138" t="str">
        <f>IF(R128=1,"entraîné un déficit de calcium dans l'eau reconstituée."," ")</f>
        <v> </v>
      </c>
      <c r="K132" s="13"/>
    </row>
    <row r="133" spans="2:11" ht="13.5" thickBot="1">
      <c r="B133" s="5"/>
      <c r="C133" s="11"/>
      <c r="D133" s="11"/>
      <c r="E133" s="11"/>
      <c r="F133" s="11"/>
      <c r="G133" s="11"/>
      <c r="H133" s="11"/>
      <c r="I133" s="11"/>
      <c r="J133" s="139" t="str">
        <f>IF(R128=1,"Vous donnez ici priorité à l'augmentation du magnésium."," ")</f>
        <v> </v>
      </c>
      <c r="K133" s="3"/>
    </row>
    <row r="134" ht="13.5" thickBot="1">
      <c r="J134" s="140" t="str">
        <f>IF(R128=1,"Le déficit en calcium reste faible..."," ")</f>
        <v> </v>
      </c>
    </row>
    <row r="135" spans="2:11" ht="12.75">
      <c r="B135" s="65" t="s">
        <v>103</v>
      </c>
      <c r="C135" s="10"/>
      <c r="D135" s="10"/>
      <c r="E135" s="10"/>
      <c r="F135" s="10"/>
      <c r="G135" s="10"/>
      <c r="H135" s="10"/>
      <c r="I135" s="10"/>
      <c r="J135" s="10"/>
      <c r="K135" s="8"/>
    </row>
    <row r="136" spans="2:11" ht="12.75">
      <c r="B136" s="4" t="s">
        <v>100</v>
      </c>
      <c r="C136" s="12"/>
      <c r="D136" s="12"/>
      <c r="E136" s="12"/>
      <c r="F136" s="12"/>
      <c r="G136" s="12"/>
      <c r="H136" s="97">
        <f>H129/7</f>
        <v>1.1428571428571428</v>
      </c>
      <c r="I136" s="92" t="s">
        <v>0</v>
      </c>
      <c r="J136" s="12"/>
      <c r="K136" s="13"/>
    </row>
    <row r="137" spans="2:11" ht="12.75">
      <c r="B137" s="4" t="s">
        <v>101</v>
      </c>
      <c r="C137" s="12"/>
      <c r="D137" s="12"/>
      <c r="E137" s="12"/>
      <c r="F137" s="12"/>
      <c r="G137" s="12"/>
      <c r="H137" s="98">
        <f>H130/7</f>
        <v>1.4988942340182827</v>
      </c>
      <c r="I137" s="93" t="s">
        <v>0</v>
      </c>
      <c r="J137" s="12"/>
      <c r="K137" s="13"/>
    </row>
    <row r="138" spans="2:11" ht="12.75">
      <c r="B138" s="4" t="s">
        <v>102</v>
      </c>
      <c r="C138" s="12"/>
      <c r="D138" s="12"/>
      <c r="E138" s="12"/>
      <c r="F138" s="12"/>
      <c r="G138" s="12"/>
      <c r="H138" s="96">
        <f>H131/7</f>
        <v>0.47569546039715205</v>
      </c>
      <c r="I138" s="95" t="s">
        <v>29</v>
      </c>
      <c r="J138" s="12"/>
      <c r="K138" s="13"/>
    </row>
    <row r="139" spans="2:11" ht="13.5" thickBot="1">
      <c r="B139" s="5">
        <f>IF(H138&gt;0.5,"l'augmentation du KH est importante, vous devriez changer moins d'un litre par semaine","")</f>
      </c>
      <c r="C139" s="11"/>
      <c r="D139" s="11"/>
      <c r="E139" s="11"/>
      <c r="F139" s="11"/>
      <c r="G139" s="11"/>
      <c r="H139" s="11"/>
      <c r="I139" s="11"/>
      <c r="J139" s="11"/>
      <c r="K139" s="3"/>
    </row>
    <row r="143" ht="12.75">
      <c r="B143" s="121" t="s">
        <v>123</v>
      </c>
    </row>
    <row r="144" ht="12.75">
      <c r="B144" t="s">
        <v>129</v>
      </c>
    </row>
    <row r="145" ht="13.5" thickBot="1">
      <c r="B145" t="s">
        <v>128</v>
      </c>
    </row>
    <row r="146" spans="3:10" ht="13.5" thickBot="1">
      <c r="C146" s="107" t="s">
        <v>124</v>
      </c>
      <c r="D146" s="15"/>
      <c r="E146" s="9"/>
      <c r="F146" s="125" t="s">
        <v>125</v>
      </c>
      <c r="G146" s="142" t="s">
        <v>130</v>
      </c>
      <c r="H146" s="143"/>
      <c r="I146" s="144"/>
      <c r="J146" s="125" t="s">
        <v>126</v>
      </c>
    </row>
    <row r="147" spans="3:10" ht="12.75">
      <c r="C147" s="122" t="str">
        <f aca="true" t="shared" si="1" ref="C147:C153">C71</f>
        <v>fluorure de sodium NaF</v>
      </c>
      <c r="D147" s="123"/>
      <c r="E147" s="124"/>
      <c r="F147" s="127">
        <f>J147/H147</f>
        <v>0</v>
      </c>
      <c r="G147" s="57"/>
      <c r="H147" s="130">
        <v>1</v>
      </c>
      <c r="I147" s="126"/>
      <c r="J147" s="133"/>
    </row>
    <row r="148" spans="3:10" ht="12.75">
      <c r="C148" s="59" t="str">
        <f t="shared" si="1"/>
        <v>bromure de potassium KBr</v>
      </c>
      <c r="D148" s="55"/>
      <c r="E148" s="60"/>
      <c r="F148" s="128">
        <f>J148/H148</f>
        <v>0</v>
      </c>
      <c r="G148" s="59"/>
      <c r="H148" s="131">
        <v>1</v>
      </c>
      <c r="I148" s="60"/>
      <c r="J148" s="134"/>
    </row>
    <row r="149" spans="3:10" ht="12.75">
      <c r="C149" s="59" t="str">
        <f t="shared" si="1"/>
        <v>acide borique H3BO3</v>
      </c>
      <c r="D149" s="55"/>
      <c r="E149" s="60"/>
      <c r="F149" s="128">
        <f aca="true" t="shared" si="2" ref="F149:F156">J149/H149</f>
        <v>0</v>
      </c>
      <c r="G149" s="59"/>
      <c r="H149" s="131">
        <v>1</v>
      </c>
      <c r="I149" s="60"/>
      <c r="J149" s="134"/>
    </row>
    <row r="150" spans="3:10" ht="12.75">
      <c r="C150" s="59" t="str">
        <f t="shared" si="1"/>
        <v>hydrogénocarbonate de sodium NaHCO3</v>
      </c>
      <c r="D150" s="55"/>
      <c r="E150" s="60"/>
      <c r="F150" s="128">
        <f t="shared" si="2"/>
        <v>0</v>
      </c>
      <c r="G150" s="59"/>
      <c r="H150" s="131">
        <v>1</v>
      </c>
      <c r="I150" s="60"/>
      <c r="J150" s="134"/>
    </row>
    <row r="151" spans="3:10" ht="12.75">
      <c r="C151" s="59" t="str">
        <f t="shared" si="1"/>
        <v>carbonate de sodium Na2CO3</v>
      </c>
      <c r="D151" s="55"/>
      <c r="E151" s="60"/>
      <c r="F151" s="128">
        <f t="shared" si="2"/>
        <v>0</v>
      </c>
      <c r="G151" s="59"/>
      <c r="H151" s="131">
        <v>1</v>
      </c>
      <c r="I151" s="60"/>
      <c r="J151" s="134"/>
    </row>
    <row r="152" spans="3:10" ht="12.75">
      <c r="C152" s="59" t="str">
        <f t="shared" si="1"/>
        <v>hydrogénocarbonate de potassium KHCO3</v>
      </c>
      <c r="D152" s="55"/>
      <c r="E152" s="60"/>
      <c r="F152" s="128">
        <f t="shared" si="2"/>
        <v>0</v>
      </c>
      <c r="G152" s="59"/>
      <c r="H152" s="131">
        <v>1</v>
      </c>
      <c r="I152" s="60"/>
      <c r="J152" s="134"/>
    </row>
    <row r="153" spans="3:10" ht="12.75">
      <c r="C153" s="59" t="str">
        <f t="shared" si="1"/>
        <v>*</v>
      </c>
      <c r="D153" s="55"/>
      <c r="E153" s="60"/>
      <c r="F153" s="128">
        <f t="shared" si="2"/>
        <v>0</v>
      </c>
      <c r="G153" s="59"/>
      <c r="H153" s="131">
        <v>1</v>
      </c>
      <c r="I153" s="60"/>
      <c r="J153" s="134"/>
    </row>
    <row r="154" spans="3:10" ht="12.75">
      <c r="C154" s="59" t="str">
        <f>C88</f>
        <v>chlorure de magnésium hexahydraté MgCl2,6H2O</v>
      </c>
      <c r="D154" s="55"/>
      <c r="E154" s="60"/>
      <c r="F154" s="128">
        <f t="shared" si="2"/>
        <v>0</v>
      </c>
      <c r="G154" s="59"/>
      <c r="H154" s="131">
        <v>1</v>
      </c>
      <c r="I154" s="60"/>
      <c r="J154" s="134"/>
    </row>
    <row r="155" spans="3:10" ht="12.75">
      <c r="C155" s="59" t="str">
        <f>C89</f>
        <v>chlorure de calcium dihydraté CaCl2,2H2O</v>
      </c>
      <c r="D155" s="55"/>
      <c r="E155" s="60"/>
      <c r="F155" s="128">
        <f t="shared" si="2"/>
        <v>0</v>
      </c>
      <c r="G155" s="59"/>
      <c r="H155" s="131">
        <v>1</v>
      </c>
      <c r="I155" s="60"/>
      <c r="J155" s="134"/>
    </row>
    <row r="156" spans="3:10" ht="12.75">
      <c r="C156" s="59" t="str">
        <f>C90</f>
        <v>chlorure de strontium hexahydraté SrCl2</v>
      </c>
      <c r="D156" s="55"/>
      <c r="E156" s="60"/>
      <c r="F156" s="128">
        <f t="shared" si="2"/>
        <v>0</v>
      </c>
      <c r="G156" s="59"/>
      <c r="H156" s="131">
        <v>1</v>
      </c>
      <c r="I156" s="60"/>
      <c r="J156" s="134"/>
    </row>
    <row r="157" spans="3:10" ht="13.5" thickBot="1">
      <c r="C157" s="61" t="str">
        <f>C101</f>
        <v>sulfate de magnésium heptahydraté MgSO4,7H2O</v>
      </c>
      <c r="D157" s="62"/>
      <c r="E157" s="64"/>
      <c r="F157" s="129">
        <f>J157/H157</f>
        <v>0</v>
      </c>
      <c r="G157" s="61"/>
      <c r="H157" s="132">
        <v>1</v>
      </c>
      <c r="I157" s="64"/>
      <c r="J157" s="135"/>
    </row>
    <row r="158" ht="13.5" thickBot="1"/>
    <row r="159" spans="3:6" ht="15.75" thickBot="1">
      <c r="C159" s="107" t="s">
        <v>127</v>
      </c>
      <c r="D159" s="15"/>
      <c r="E159" s="15"/>
      <c r="F159" s="136">
        <f>(F147*F71+F72*F148+F149*F73+F74*F150+F151*F75+F76*F152+F153*F77+F88*F154+F155*F89+F90*F156+F157*F101)/1000/10</f>
        <v>0</v>
      </c>
    </row>
  </sheetData>
  <sheetProtection password="FA87" sheet="1" objects="1" scenarios="1"/>
  <mergeCells count="8">
    <mergeCell ref="G146:I146"/>
    <mergeCell ref="F100:H100"/>
    <mergeCell ref="I100:J100"/>
    <mergeCell ref="B7:E7"/>
    <mergeCell ref="F70:H70"/>
    <mergeCell ref="I70:J70"/>
    <mergeCell ref="F87:H87"/>
    <mergeCell ref="I87:J87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Eau De Mer Sans Sel</dc:title>
  <dc:subject/>
  <dc:creator>DOUTRES Régis</dc:creator>
  <cp:keywords/>
  <dc:description/>
  <cp:lastModifiedBy>DOUTRES Régis</cp:lastModifiedBy>
  <cp:lastPrinted>2003-06-15T16:59:29Z</cp:lastPrinted>
  <dcterms:created xsi:type="dcterms:W3CDTF">1998-04-17T15:53:07Z</dcterms:created>
  <dcterms:modified xsi:type="dcterms:W3CDTF">2003-07-14T14:02:39Z</dcterms:modified>
  <cp:category/>
  <cp:version/>
  <cp:contentType/>
  <cp:contentStatus/>
</cp:coreProperties>
</file>